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Files\חופש המידע\2018\עורכי דין מנהל תקין\תקציב וספר ספקים\"/>
    </mc:Choice>
  </mc:AlternateContent>
  <bookViews>
    <workbookView xWindow="0" yWindow="0" windowWidth="28800" windowHeight="12360" tabRatio="934" activeTab="32"/>
  </bookViews>
  <sheets>
    <sheet name="פתיח" sheetId="34" r:id="rId1"/>
    <sheet name="אינדקס" sheetId="94" r:id="rId2"/>
    <sheet name="טבלה מעודכנת " sheetId="139" r:id="rId3"/>
    <sheet name="טבלה 2" sheetId="141" r:id="rId4"/>
    <sheet name="טבלה 3" sheetId="108" r:id="rId5"/>
    <sheet name="טבלה 4" sheetId="109" r:id="rId6"/>
    <sheet name="טבלה 5" sheetId="129" r:id="rId7"/>
    <sheet name="נספחים" sheetId="90" r:id="rId8"/>
    <sheet name="הצהרה" sheetId="130" r:id="rId9"/>
    <sheet name="הצהרה (2)" sheetId="131" r:id="rId10"/>
    <sheet name="נספח ב" sheetId="132" r:id="rId11"/>
    <sheet name="נספח ג" sheetId="133" r:id="rId12"/>
    <sheet name="נספח ד" sheetId="134" r:id="rId13"/>
    <sheet name="נספח ה" sheetId="135" r:id="rId14"/>
    <sheet name="נספח ו" sheetId="136" r:id="rId15"/>
    <sheet name="נספח ז 1" sheetId="137" r:id="rId16"/>
    <sheet name="נספח ז 2" sheetId="145" r:id="rId17"/>
    <sheet name="נספחים (2)" sheetId="120" r:id="rId18"/>
    <sheet name="פירוטים" sheetId="80" state="hidden" r:id="rId19"/>
    <sheet name="נספח 2" sheetId="81" state="hidden" r:id="rId20"/>
    <sheet name="פירוט גרעונות" sheetId="82" state="hidden" r:id="rId21"/>
    <sheet name="טבלה  4" sheetId="83" state="hidden" r:id="rId22"/>
    <sheet name="נספח 5 שכר" sheetId="84" state="hidden" r:id="rId23"/>
    <sheet name="נספח 6 פעולות" sheetId="85" state="hidden" r:id="rId24"/>
    <sheet name="פרעון מלוות " sheetId="86" state="hidden" r:id="rId25"/>
    <sheet name="נספח 8 תמיכות " sheetId="87" state="hidden" r:id="rId26"/>
    <sheet name="נספח 9 הכנסות " sheetId="88" state="hidden" r:id="rId27"/>
    <sheet name="נספח 10 ביוב " sheetId="89" state="hidden" r:id="rId28"/>
    <sheet name="הסברים" sheetId="160" state="hidden" r:id="rId29"/>
    <sheet name="הוצאות " sheetId="143" r:id="rId30"/>
    <sheet name="מוניצפלי" sheetId="99" state="hidden" r:id="rId31"/>
    <sheet name="הכנסות " sheetId="142" r:id="rId32"/>
    <sheet name="שכר" sheetId="162" r:id="rId33"/>
    <sheet name="פיצויים" sheetId="173" state="hidden" r:id="rId34"/>
    <sheet name="מוניצ" sheetId="146" state="hidden" r:id="rId35"/>
    <sheet name="חינוך" sheetId="147" state="hidden" r:id="rId36"/>
    <sheet name="רווחה" sheetId="148" state="hidden" r:id="rId37"/>
    <sheet name="גיליון1" sheetId="149" state="hidden" r:id="rId38"/>
    <sheet name="פירוט שכר כללי" sheetId="150" state="hidden" r:id="rId39"/>
    <sheet name="פירוט פעולות כלליות" sheetId="151" state="hidden" r:id="rId40"/>
    <sheet name="פירוט שכר חינוך" sheetId="152" state="hidden" r:id="rId41"/>
    <sheet name="פירוט פעולות חינוך" sheetId="153" state="hidden" r:id="rId42"/>
    <sheet name="פירוט שכר רווחה" sheetId="154" state="hidden" r:id="rId43"/>
    <sheet name="פירוט פעולות רווחה" sheetId="155" state="hidden" r:id="rId44"/>
    <sheet name="פירוט עצמיות אחר" sheetId="156" state="hidden" r:id="rId45"/>
    <sheet name="פירוט תקבולים ממשלתיים אחרים" sheetId="157" state="hidden" r:id="rId46"/>
    <sheet name="פירוט הכנסות ח&quot;פ" sheetId="158" state="hidden" r:id="rId47"/>
    <sheet name="הכנסות לשלפה" sheetId="161" state="hidden" r:id="rId48"/>
    <sheet name="66 מצטבר" sheetId="163" state="hidden" r:id="rId49"/>
    <sheet name="עזר" sheetId="166" state="hidden" r:id="rId50"/>
    <sheet name="Sheet1" sheetId="168" state="hidden" r:id="rId51"/>
    <sheet name="ביצוע 9.17" sheetId="169" state="hidden" r:id="rId52"/>
    <sheet name="מלוות" sheetId="170" state="hidden" r:id="rId53"/>
    <sheet name="הסברים הכנס" sheetId="174" state="hidden" r:id="rId54"/>
    <sheet name="משק מים" sheetId="175" state="hidden" r:id="rId55"/>
  </sheets>
  <externalReferences>
    <externalReference r:id="rId56"/>
    <externalReference r:id="rId57"/>
    <externalReference r:id="rId58"/>
    <externalReference r:id="rId59"/>
  </externalReferences>
  <definedNames>
    <definedName name="_xlnm._FilterDatabase" localSheetId="48" hidden="1">'66 מצטבר'!$A$1:$AG$721</definedName>
    <definedName name="_xlnm._FilterDatabase" localSheetId="29" hidden="1">'הוצאות '!$C$1:$S$430</definedName>
    <definedName name="_xlnm._FilterDatabase" localSheetId="31" hidden="1">'הכנסות '!#REF!</definedName>
    <definedName name="_xlnm._FilterDatabase" localSheetId="35" hidden="1">חינוך!$A$3:$W$227</definedName>
    <definedName name="_xlnm._FilterDatabase" localSheetId="34" hidden="1">מוניצ!$A$3:$K$170</definedName>
    <definedName name="_xlnm._FilterDatabase" localSheetId="49" hidden="1">עזר!$A$2:$G$330</definedName>
    <definedName name="_xlnm._FilterDatabase" localSheetId="39" hidden="1">'פירוט פעולות כלליות'!$B$1:$M$145</definedName>
    <definedName name="_xlnm._FilterDatabase" localSheetId="32" hidden="1">שכר!$A$1:$AK$485</definedName>
    <definedName name="BikoretCode">'[1]הגדרות כלליות'!$G$26</definedName>
    <definedName name="GufMevukar">'[1]הגדרות כלליות'!$D$9</definedName>
    <definedName name="Ishur">'[1]הגדרות כלליות'!$G$30</definedName>
    <definedName name="ReportPeriod">'[1]הגדרות כלליות'!$O$2</definedName>
    <definedName name="Shana">'[1]הגדרות כלליות'!$D$11</definedName>
    <definedName name="_xlnm.Print_Area" localSheetId="1">אינדקס!$A$1:$K$29</definedName>
    <definedName name="_xlnm.Print_Area" localSheetId="29">'הוצאות '!$A$1:$T$425</definedName>
    <definedName name="_xlnm.Print_Area" localSheetId="31">'הכנסות '!$A$1:$S$274</definedName>
    <definedName name="_xlnm.Print_Area" localSheetId="35">חינוך!$A$1:$W$227</definedName>
    <definedName name="_xlnm.Print_Area" localSheetId="2">'טבלה מעודכנת '!$A$1:$P$50</definedName>
    <definedName name="_xlnm.Print_Area" localSheetId="34">מוניצ!$A$1:$W$171</definedName>
    <definedName name="_xlnm.Print_Area" localSheetId="46">'פירוט הכנסות ח"פ'!$A$1:$F$10</definedName>
    <definedName name="_xlnm.Print_Area" localSheetId="44">'פירוט עצמיות אחר'!$A$1:$F$56</definedName>
    <definedName name="_xlnm.Print_Area" localSheetId="41">'פירוט פעולות חינוך'!$A$1:$G$68</definedName>
    <definedName name="_xlnm.Print_Area" localSheetId="39">'פירוט פעולות כלליות'!$A$1:$G$66</definedName>
    <definedName name="_xlnm.Print_Area" localSheetId="43">'פירוט פעולות רווחה'!$A$1:$G$85</definedName>
    <definedName name="_xlnm.Print_Area" localSheetId="40">'פירוט שכר חינוך'!$B$3:$G$20</definedName>
    <definedName name="_xlnm.Print_Area" localSheetId="38">'פירוט שכר כללי'!$A$1:$F$67</definedName>
    <definedName name="_xlnm.Print_Area" localSheetId="42">'פירוט שכר רווחה'!$A$1:$G$14</definedName>
    <definedName name="_xlnm.Print_Area" localSheetId="45">'פירוט תקבולים ממשלתיים אחרים'!$A$1:$F$21</definedName>
    <definedName name="_xlnm.Print_Area" localSheetId="18">פירוטים!$A$1:$L$283</definedName>
    <definedName name="_xlnm.Print_Area" localSheetId="36">רווחה!$A$1:$X$42</definedName>
    <definedName name="_xlnm.Print_Titles" localSheetId="29">'הוצאות '!$1:$2</definedName>
    <definedName name="_xlnm.Print_Titles" localSheetId="31">'הכנסות '!$1:$2</definedName>
    <definedName name="_xlnm.Print_Titles" localSheetId="35">חינוך!$1:$3</definedName>
    <definedName name="_xlnm.Print_Titles" localSheetId="5">'טבלה 4'!$1:$8</definedName>
    <definedName name="_xlnm.Print_Titles" localSheetId="34">מוניצ!$1:$3</definedName>
    <definedName name="_xlnm.Print_Titles" localSheetId="30">מוניצפלי!$1:$3</definedName>
    <definedName name="_xlnm.Print_Titles" localSheetId="18">פירוטים!$1:$4</definedName>
    <definedName name="ש422">'הוצאות '!#REF!</definedName>
  </definedNames>
  <calcPr calcId="162913"/>
</workbook>
</file>

<file path=xl/calcChain.xml><?xml version="1.0" encoding="utf-8"?>
<calcChain xmlns="http://schemas.openxmlformats.org/spreadsheetml/2006/main">
  <c r="E151" i="142" l="1"/>
  <c r="F151" i="142"/>
  <c r="G151" i="142"/>
  <c r="E57" i="142" l="1"/>
  <c r="F57" i="142"/>
  <c r="G57" i="142"/>
  <c r="H57" i="142"/>
  <c r="I57" i="142"/>
  <c r="J57" i="142"/>
  <c r="K57" i="142"/>
  <c r="L57" i="142"/>
  <c r="M57" i="142"/>
  <c r="P57" i="142"/>
  <c r="R57" i="142"/>
  <c r="S57" i="142"/>
  <c r="D57" i="142"/>
  <c r="S253" i="142" l="1"/>
  <c r="F121" i="143"/>
  <c r="H121" i="143"/>
  <c r="I121" i="143"/>
  <c r="J121" i="143"/>
  <c r="K121" i="143"/>
  <c r="L121" i="143"/>
  <c r="M121" i="143"/>
  <c r="N121" i="143"/>
  <c r="O121" i="143"/>
  <c r="P121" i="143"/>
  <c r="Q121" i="143"/>
  <c r="R121" i="143"/>
  <c r="S121" i="143"/>
  <c r="E121" i="143"/>
  <c r="F402" i="143"/>
  <c r="G402" i="143"/>
  <c r="H402" i="143"/>
  <c r="I402" i="143"/>
  <c r="J402" i="143"/>
  <c r="K402" i="143"/>
  <c r="L402" i="143"/>
  <c r="M402" i="143"/>
  <c r="N402" i="143"/>
  <c r="O402" i="143"/>
  <c r="P402" i="143"/>
  <c r="Q402" i="143"/>
  <c r="R402" i="143"/>
  <c r="S402" i="143"/>
  <c r="E402" i="143"/>
  <c r="F399" i="143"/>
  <c r="I399" i="143"/>
  <c r="J399" i="143"/>
  <c r="L399" i="143"/>
  <c r="M399" i="143"/>
  <c r="N399" i="143"/>
  <c r="O399" i="143"/>
  <c r="P399" i="143"/>
  <c r="R399" i="143"/>
  <c r="E399" i="143"/>
  <c r="S59" i="143" l="1"/>
  <c r="F10" i="133"/>
  <c r="R3" i="142" l="1"/>
  <c r="R58" i="143"/>
  <c r="S58" i="143" s="1"/>
  <c r="I43" i="175" l="1"/>
  <c r="H43" i="175"/>
  <c r="D43" i="175"/>
  <c r="E42" i="175"/>
  <c r="F42" i="175" s="1"/>
  <c r="C42" i="175"/>
  <c r="C43" i="175" s="1"/>
  <c r="G41" i="175"/>
  <c r="F41" i="175"/>
  <c r="G40" i="175"/>
  <c r="E40" i="175"/>
  <c r="F40" i="175" s="1"/>
  <c r="G39" i="175"/>
  <c r="F39" i="175"/>
  <c r="E39" i="175"/>
  <c r="G38" i="175"/>
  <c r="E38" i="175"/>
  <c r="F38" i="175" s="1"/>
  <c r="G37" i="175"/>
  <c r="E37" i="175"/>
  <c r="F37" i="175" s="1"/>
  <c r="F43" i="175" s="1"/>
  <c r="I35" i="175"/>
  <c r="I44" i="175" s="1"/>
  <c r="H35" i="175"/>
  <c r="D35" i="175"/>
  <c r="D44" i="175" s="1"/>
  <c r="G33" i="175"/>
  <c r="E33" i="175"/>
  <c r="F33" i="175" s="1"/>
  <c r="G32" i="175"/>
  <c r="E32" i="175"/>
  <c r="F32" i="175" s="1"/>
  <c r="C32" i="175"/>
  <c r="C31" i="175"/>
  <c r="F31" i="175" s="1"/>
  <c r="E31" i="175" s="1"/>
  <c r="E30" i="175"/>
  <c r="F30" i="175" s="1"/>
  <c r="E29" i="175"/>
  <c r="F29" i="175" s="1"/>
  <c r="C29" i="175"/>
  <c r="G29" i="175" s="1"/>
  <c r="E28" i="175"/>
  <c r="F28" i="175" s="1"/>
  <c r="C28" i="175"/>
  <c r="G28" i="175" s="1"/>
  <c r="E27" i="175"/>
  <c r="F27" i="175" s="1"/>
  <c r="C27" i="175"/>
  <c r="G27" i="175" s="1"/>
  <c r="E26" i="175"/>
  <c r="F26" i="175" s="1"/>
  <c r="C26" i="175"/>
  <c r="C35" i="175" s="1"/>
  <c r="C44" i="175" s="1"/>
  <c r="E25" i="175"/>
  <c r="F25" i="175" s="1"/>
  <c r="I24" i="175"/>
  <c r="F24" i="175"/>
  <c r="E24" i="175"/>
  <c r="D24" i="175"/>
  <c r="C24" i="175"/>
  <c r="H22" i="175"/>
  <c r="H24" i="175" s="1"/>
  <c r="G22" i="175"/>
  <c r="G24" i="175" s="1"/>
  <c r="I17" i="175"/>
  <c r="G17" i="175"/>
  <c r="E17" i="175"/>
  <c r="D17" i="175"/>
  <c r="D45" i="175" s="1"/>
  <c r="H16" i="175"/>
  <c r="H17" i="175" s="1"/>
  <c r="C16" i="175"/>
  <c r="F12" i="175"/>
  <c r="C11" i="175"/>
  <c r="C17" i="175" s="1"/>
  <c r="C45" i="175" s="1"/>
  <c r="F10" i="175"/>
  <c r="F17" i="175" s="1"/>
  <c r="F8" i="175"/>
  <c r="I45" i="175" l="1"/>
  <c r="F35" i="175"/>
  <c r="F44" i="175" s="1"/>
  <c r="F45" i="175" s="1"/>
  <c r="G43" i="175"/>
  <c r="H44" i="175"/>
  <c r="H45" i="175" s="1"/>
  <c r="E35" i="175"/>
  <c r="G26" i="175"/>
  <c r="G35" i="175" s="1"/>
  <c r="G44" i="175" s="1"/>
  <c r="G45" i="175" s="1"/>
  <c r="E43" i="175"/>
  <c r="G42" i="175"/>
  <c r="E44" i="175" l="1"/>
  <c r="E45" i="175" s="1"/>
  <c r="S4" i="142" l="1"/>
  <c r="S102" i="143"/>
  <c r="R102" i="143"/>
  <c r="R70" i="143"/>
  <c r="Q66" i="143" l="1"/>
  <c r="Q101" i="143"/>
  <c r="Q416" i="143"/>
  <c r="Q413" i="143"/>
  <c r="Q385" i="143"/>
  <c r="Q257" i="143"/>
  <c r="Q243" i="143"/>
  <c r="Q217" i="143"/>
  <c r="Q176" i="143"/>
  <c r="Q156" i="143"/>
  <c r="Q144" i="143"/>
  <c r="Q53" i="143"/>
  <c r="Q120" i="142"/>
  <c r="K170" i="142" l="1"/>
  <c r="L170" i="142"/>
  <c r="M170" i="142"/>
  <c r="P170" i="142"/>
  <c r="S256" i="142"/>
  <c r="S67" i="142"/>
  <c r="S6" i="142"/>
  <c r="S397" i="143" l="1"/>
  <c r="S399" i="143" s="1"/>
  <c r="S72" i="142"/>
  <c r="R72" i="142"/>
  <c r="S96" i="142"/>
  <c r="S118" i="142" s="1"/>
  <c r="R96" i="142"/>
  <c r="R4" i="142"/>
  <c r="R129" i="142"/>
  <c r="S115" i="143"/>
  <c r="S95" i="143"/>
  <c r="S88" i="143"/>
  <c r="G105" i="143"/>
  <c r="H105" i="143" s="1"/>
  <c r="G104" i="143"/>
  <c r="H104" i="143" s="1"/>
  <c r="R48" i="143"/>
  <c r="S48" i="143"/>
  <c r="J41" i="143"/>
  <c r="H41" i="143"/>
  <c r="G41" i="143"/>
  <c r="S29" i="143"/>
  <c r="R29" i="143"/>
  <c r="S194" i="142"/>
  <c r="S178" i="142"/>
  <c r="S182" i="142"/>
  <c r="E17" i="142"/>
  <c r="H17" i="142"/>
  <c r="K17" i="142"/>
  <c r="L17" i="142"/>
  <c r="M17" i="142"/>
  <c r="P17" i="142"/>
  <c r="R17" i="142"/>
  <c r="S17" i="142"/>
  <c r="D17" i="142"/>
  <c r="Q16" i="142"/>
  <c r="Q17" i="142" s="1"/>
  <c r="O16" i="142"/>
  <c r="N16" i="142"/>
  <c r="I16" i="142"/>
  <c r="F16" i="142"/>
  <c r="G16" i="142" s="1"/>
  <c r="O15" i="142"/>
  <c r="N15" i="142"/>
  <c r="I15" i="142"/>
  <c r="F15" i="142"/>
  <c r="G15" i="142" s="1"/>
  <c r="O14" i="142"/>
  <c r="N14" i="142"/>
  <c r="J14" i="142"/>
  <c r="J17" i="142" s="1"/>
  <c r="I14" i="142"/>
  <c r="F14" i="142"/>
  <c r="G14" i="142" s="1"/>
  <c r="O29" i="142"/>
  <c r="N29" i="142"/>
  <c r="I29" i="142"/>
  <c r="F29" i="142"/>
  <c r="G29" i="142" s="1"/>
  <c r="S130" i="143"/>
  <c r="R130" i="143"/>
  <c r="T10" i="143"/>
  <c r="V10" i="143"/>
  <c r="W10" i="143"/>
  <c r="X10" i="143"/>
  <c r="Y10" i="143"/>
  <c r="Z10" i="143"/>
  <c r="AA10" i="143"/>
  <c r="AB10" i="143"/>
  <c r="AC10" i="143"/>
  <c r="AD10" i="143"/>
  <c r="AE10" i="143"/>
  <c r="S54" i="142"/>
  <c r="S21" i="142"/>
  <c r="S22" i="142" s="1"/>
  <c r="D9" i="174"/>
  <c r="F9" i="174"/>
  <c r="E9" i="174"/>
  <c r="D18" i="174"/>
  <c r="D21" i="174"/>
  <c r="D19" i="174"/>
  <c r="D13" i="174"/>
  <c r="D12" i="174"/>
  <c r="D15" i="174" s="1"/>
  <c r="S188" i="142" l="1"/>
  <c r="R54" i="142"/>
  <c r="R21" i="142"/>
  <c r="R179" i="143" l="1"/>
  <c r="R178" i="143"/>
  <c r="R177" i="143"/>
  <c r="R176" i="143"/>
  <c r="AM64" i="162"/>
  <c r="R115" i="143" l="1"/>
  <c r="O9" i="139" l="1"/>
  <c r="D21" i="173" l="1"/>
  <c r="R88" i="143" l="1"/>
  <c r="S290" i="143" l="1"/>
  <c r="R331" i="143"/>
  <c r="R204" i="142"/>
  <c r="S235" i="142"/>
  <c r="R221" i="142"/>
  <c r="R300" i="143" l="1"/>
  <c r="AO378" i="162"/>
  <c r="AN378" i="162"/>
  <c r="R210" i="142" l="1"/>
  <c r="R366" i="143" l="1"/>
  <c r="S365" i="143"/>
  <c r="R352" i="143"/>
  <c r="R342" i="143"/>
  <c r="R343" i="143"/>
  <c r="R324" i="143"/>
  <c r="R308" i="143"/>
  <c r="AO379" i="162"/>
  <c r="AN379" i="162"/>
  <c r="R312" i="143" l="1"/>
  <c r="AM376" i="162"/>
  <c r="AM372" i="162"/>
  <c r="R175" i="142"/>
  <c r="AO377" i="162"/>
  <c r="AN377" i="162"/>
  <c r="R182" i="142"/>
  <c r="R307" i="143"/>
  <c r="AM367" i="162"/>
  <c r="C21" i="173"/>
  <c r="A235" i="143" l="1"/>
  <c r="R118" i="142"/>
  <c r="R417" i="143" l="1"/>
  <c r="R95" i="143" l="1"/>
  <c r="P30" i="109" l="1"/>
  <c r="P28" i="109"/>
  <c r="O28" i="109"/>
  <c r="O14" i="109"/>
  <c r="O17" i="109"/>
  <c r="R399" i="162"/>
  <c r="S399" i="162"/>
  <c r="T399" i="162"/>
  <c r="U399" i="162"/>
  <c r="V399" i="162"/>
  <c r="W399" i="162"/>
  <c r="X399" i="162"/>
  <c r="Y399" i="162"/>
  <c r="Z399" i="162"/>
  <c r="AA399" i="162"/>
  <c r="AB399" i="162"/>
  <c r="AC399" i="162"/>
  <c r="AD399" i="162"/>
  <c r="AE399" i="162"/>
  <c r="AF399" i="162"/>
  <c r="AM399" i="162"/>
  <c r="Q399" i="162"/>
  <c r="R19" i="143" l="1"/>
  <c r="R194" i="142" l="1"/>
  <c r="R178" i="142"/>
  <c r="AM157" i="162" l="1"/>
  <c r="R162" i="143" s="1"/>
  <c r="R142" i="142" l="1"/>
  <c r="R140" i="142"/>
  <c r="R234" i="143" l="1"/>
  <c r="R147" i="142"/>
  <c r="R159" i="143"/>
  <c r="R150" i="143"/>
  <c r="R145" i="143"/>
  <c r="R61" i="142" l="1"/>
  <c r="R67" i="142" s="1"/>
  <c r="Q188" i="142" l="1"/>
  <c r="R6" i="142"/>
  <c r="O7" i="139" s="1"/>
  <c r="R357" i="143"/>
  <c r="S356" i="143"/>
  <c r="Q351" i="143"/>
  <c r="Q313" i="143"/>
  <c r="Q310" i="143"/>
  <c r="Q20" i="143"/>
  <c r="Q13" i="143"/>
  <c r="Q156" i="142"/>
  <c r="S147" i="142"/>
  <c r="S144" i="142"/>
  <c r="Q75" i="142"/>
  <c r="R256" i="142" l="1"/>
  <c r="O8" i="139" l="1"/>
  <c r="F12" i="133"/>
  <c r="F9" i="129" l="1"/>
  <c r="O13" i="145" l="1"/>
  <c r="N13" i="145"/>
  <c r="M13" i="145"/>
  <c r="AP489" i="162" l="1"/>
  <c r="AM489" i="162"/>
  <c r="AL489" i="162"/>
  <c r="AK489" i="162"/>
  <c r="AJ489" i="162"/>
  <c r="AI489" i="162"/>
  <c r="AH489" i="162"/>
  <c r="AG489" i="162"/>
  <c r="Q489" i="162"/>
  <c r="O489" i="162"/>
  <c r="AP487" i="162"/>
  <c r="Q487" i="162"/>
  <c r="AP399" i="162"/>
  <c r="R384" i="143"/>
  <c r="Q394" i="162"/>
  <c r="AP389" i="162"/>
  <c r="AK389" i="162"/>
  <c r="AJ389" i="162"/>
  <c r="Q389" i="162"/>
  <c r="Q385" i="162"/>
  <c r="Q380" i="162"/>
  <c r="AP360" i="162"/>
  <c r="Q360" i="162"/>
  <c r="AP358" i="162"/>
  <c r="Q358" i="162"/>
  <c r="AP351" i="162"/>
  <c r="Q351" i="162"/>
  <c r="AP345" i="162"/>
  <c r="Q345" i="162"/>
  <c r="AP343" i="162"/>
  <c r="Q343" i="162"/>
  <c r="AP338" i="162"/>
  <c r="Q338" i="162"/>
  <c r="AP334" i="162"/>
  <c r="Q334" i="162"/>
  <c r="AP330" i="162"/>
  <c r="Q330" i="162"/>
  <c r="AP327" i="162"/>
  <c r="AK327" i="162"/>
  <c r="AJ327" i="162"/>
  <c r="Q327" i="162"/>
  <c r="AP308" i="162"/>
  <c r="Q308" i="162"/>
  <c r="AP305" i="162"/>
  <c r="Q305" i="162"/>
  <c r="AP302" i="162"/>
  <c r="Q302" i="162"/>
  <c r="AP292" i="162"/>
  <c r="Q292" i="162"/>
  <c r="AP290" i="162"/>
  <c r="AK290" i="162"/>
  <c r="AJ290" i="162"/>
  <c r="Q290" i="162"/>
  <c r="O290" i="162"/>
  <c r="AP286" i="162"/>
  <c r="Q286" i="162"/>
  <c r="AP284" i="162"/>
  <c r="AK284" i="162"/>
  <c r="AJ284" i="162"/>
  <c r="Q284" i="162"/>
  <c r="AP261" i="162"/>
  <c r="Q261" i="162"/>
  <c r="AP243" i="162"/>
  <c r="Q243" i="162"/>
  <c r="AP240" i="162"/>
  <c r="Q240" i="162"/>
  <c r="AP222" i="162"/>
  <c r="Q222" i="162"/>
  <c r="AP208" i="162"/>
  <c r="Q208" i="162"/>
  <c r="AP203" i="162"/>
  <c r="Q203" i="162"/>
  <c r="AP195" i="162"/>
  <c r="Q195" i="162"/>
  <c r="AP193" i="162"/>
  <c r="Q193" i="162"/>
  <c r="AP177" i="162"/>
  <c r="Q177" i="162"/>
  <c r="AP169" i="162"/>
  <c r="Q169" i="162"/>
  <c r="AP163" i="162"/>
  <c r="Q163" i="162"/>
  <c r="AP155" i="162"/>
  <c r="AM155" i="162"/>
  <c r="R158" i="143" s="1"/>
  <c r="S158" i="143" s="1"/>
  <c r="AL155" i="162"/>
  <c r="Q155" i="162"/>
  <c r="AP149" i="162"/>
  <c r="AM149" i="162"/>
  <c r="R157" i="143" s="1"/>
  <c r="S157" i="143" s="1"/>
  <c r="Q149" i="162"/>
  <c r="O149" i="162"/>
  <c r="AP145" i="162"/>
  <c r="Q145" i="162"/>
  <c r="AP139" i="162"/>
  <c r="AM139" i="162"/>
  <c r="R152" i="143" s="1"/>
  <c r="S152" i="143" s="1"/>
  <c r="AL139" i="162"/>
  <c r="AK139" i="162"/>
  <c r="AJ139" i="162"/>
  <c r="AI139" i="162"/>
  <c r="AH139" i="162"/>
  <c r="AG139" i="162"/>
  <c r="P152" i="143" s="1"/>
  <c r="Q139" i="162"/>
  <c r="O139" i="162"/>
  <c r="AP133" i="162"/>
  <c r="Q133" i="162"/>
  <c r="AP122" i="162"/>
  <c r="Q122" i="162"/>
  <c r="AP108" i="162"/>
  <c r="AK108" i="162"/>
  <c r="AJ108" i="162"/>
  <c r="AI108" i="162"/>
  <c r="AG108" i="162"/>
  <c r="Q108" i="162"/>
  <c r="O108" i="162"/>
  <c r="AP106" i="162"/>
  <c r="Q106" i="162"/>
  <c r="AP102" i="162"/>
  <c r="AM102" i="162"/>
  <c r="R141" i="143" s="1"/>
  <c r="S141" i="143" s="1"/>
  <c r="Q102" i="162"/>
  <c r="O102" i="162"/>
  <c r="AP100" i="162"/>
  <c r="Q100" i="162"/>
  <c r="AP96" i="162"/>
  <c r="Q96" i="162"/>
  <c r="AP81" i="162"/>
  <c r="Q81" i="162"/>
  <c r="AP68" i="162"/>
  <c r="Q68" i="162"/>
  <c r="AP63" i="162"/>
  <c r="Q63" i="162"/>
  <c r="AP55" i="162"/>
  <c r="AM55" i="162"/>
  <c r="AL55" i="162"/>
  <c r="AK55" i="162"/>
  <c r="AJ55" i="162"/>
  <c r="AI55" i="162"/>
  <c r="AG55" i="162"/>
  <c r="Q55" i="162"/>
  <c r="O55" i="162"/>
  <c r="AP53" i="162"/>
  <c r="Q53" i="162"/>
  <c r="AP49" i="162"/>
  <c r="AL49" i="162"/>
  <c r="Q49" i="162"/>
  <c r="AP47" i="162"/>
  <c r="Q47" i="162"/>
  <c r="AP45" i="162"/>
  <c r="AM45" i="162"/>
  <c r="R75" i="143" s="1"/>
  <c r="AL45" i="162"/>
  <c r="AK45" i="162"/>
  <c r="AJ45" i="162"/>
  <c r="AI45" i="162"/>
  <c r="Q75" i="143" s="1"/>
  <c r="AG45" i="162"/>
  <c r="P75" i="143" s="1"/>
  <c r="Q45" i="162"/>
  <c r="O45" i="162"/>
  <c r="AP43" i="162"/>
  <c r="Q43" i="162"/>
  <c r="AP40" i="162"/>
  <c r="Q40" i="162"/>
  <c r="AP38" i="162"/>
  <c r="Q38" i="162"/>
  <c r="AP35" i="162"/>
  <c r="Q35" i="162"/>
  <c r="AP30" i="162"/>
  <c r="Q30" i="162"/>
  <c r="AP28" i="162"/>
  <c r="AL28" i="162"/>
  <c r="Q28" i="162"/>
  <c r="AP26" i="162"/>
  <c r="Q26" i="162"/>
  <c r="AP23" i="162"/>
  <c r="Q23" i="162"/>
  <c r="AP11" i="162"/>
  <c r="Q11" i="162"/>
  <c r="AP7" i="162"/>
  <c r="AM7" i="162"/>
  <c r="R16" i="143" s="1"/>
  <c r="S16" i="143" s="1"/>
  <c r="AL7" i="162"/>
  <c r="Q7" i="162"/>
  <c r="AP5" i="162"/>
  <c r="Q5" i="162"/>
  <c r="AP3" i="162"/>
  <c r="U10" i="143" s="1"/>
  <c r="Q3" i="162"/>
  <c r="AN473" i="162"/>
  <c r="AO473" i="162"/>
  <c r="AO221" i="162"/>
  <c r="AO220" i="162"/>
  <c r="AO148" i="162"/>
  <c r="AP492" i="162" l="1"/>
  <c r="Q492" i="162"/>
  <c r="AM231" i="162"/>
  <c r="AM236" i="162"/>
  <c r="AM124" i="162"/>
  <c r="AD152" i="143" l="1"/>
  <c r="G152" i="143"/>
  <c r="G6" i="170" l="1"/>
  <c r="G5" i="170"/>
  <c r="F6" i="170"/>
  <c r="F5" i="170"/>
  <c r="F9" i="170" s="1"/>
  <c r="A182" i="143"/>
  <c r="Y229" i="143"/>
  <c r="Z229" i="143"/>
  <c r="AA229" i="143"/>
  <c r="AB229" i="143"/>
  <c r="AC229" i="143"/>
  <c r="Y183" i="143"/>
  <c r="Z183" i="143"/>
  <c r="AA183" i="143"/>
  <c r="AB183" i="143"/>
  <c r="AC183" i="143"/>
  <c r="Y181" i="143"/>
  <c r="Z181" i="143"/>
  <c r="AA181" i="143"/>
  <c r="AB181" i="143"/>
  <c r="AC181" i="143"/>
  <c r="Y173" i="143"/>
  <c r="Z173" i="143"/>
  <c r="AA173" i="143"/>
  <c r="AB173" i="143"/>
  <c r="AC173" i="143"/>
  <c r="Y166" i="143"/>
  <c r="Z166" i="143"/>
  <c r="AA166" i="143"/>
  <c r="AB166" i="143"/>
  <c r="AC166" i="143"/>
  <c r="Y153" i="143"/>
  <c r="Z153" i="143"/>
  <c r="AA153" i="143"/>
  <c r="AB153" i="143"/>
  <c r="AC153" i="143"/>
  <c r="Y143" i="143"/>
  <c r="Z143" i="143"/>
  <c r="AA143" i="143"/>
  <c r="AB143" i="143"/>
  <c r="AC143" i="143"/>
  <c r="Y67" i="143"/>
  <c r="Z67" i="143"/>
  <c r="AA67" i="143"/>
  <c r="AB67" i="143"/>
  <c r="AC67" i="143"/>
  <c r="W14" i="143"/>
  <c r="AD14" i="143"/>
  <c r="F10" i="170" l="1"/>
  <c r="AK80" i="162"/>
  <c r="AH336" i="162" l="1"/>
  <c r="AN62" i="162"/>
  <c r="P16" i="139"/>
  <c r="O16" i="139"/>
  <c r="P19" i="142" l="1"/>
  <c r="O30" i="109"/>
  <c r="I30" i="109"/>
  <c r="U140" i="143"/>
  <c r="V140" i="143"/>
  <c r="W140" i="143"/>
  <c r="X140" i="143"/>
  <c r="Y140" i="143"/>
  <c r="Z140" i="143"/>
  <c r="AA140" i="143"/>
  <c r="AB140" i="143"/>
  <c r="AC140" i="143"/>
  <c r="U91" i="143"/>
  <c r="V91" i="143"/>
  <c r="W91" i="143"/>
  <c r="X91" i="143"/>
  <c r="Y91" i="143"/>
  <c r="Z91" i="143"/>
  <c r="AA91" i="143"/>
  <c r="AB91" i="143"/>
  <c r="AC91" i="143"/>
  <c r="U27" i="143"/>
  <c r="V27" i="143"/>
  <c r="W27" i="143"/>
  <c r="X27" i="143"/>
  <c r="Y27" i="143"/>
  <c r="Z27" i="143"/>
  <c r="AA27" i="143"/>
  <c r="AB27" i="143"/>
  <c r="AC27" i="143"/>
  <c r="AO24" i="162"/>
  <c r="AN24" i="162"/>
  <c r="AO410" i="162"/>
  <c r="AO415" i="162"/>
  <c r="AO422" i="162"/>
  <c r="AO470" i="162"/>
  <c r="AO472" i="162"/>
  <c r="AO396" i="162"/>
  <c r="AO397" i="162"/>
  <c r="AO395" i="162"/>
  <c r="AO363" i="162"/>
  <c r="AO370" i="162"/>
  <c r="AO311" i="162"/>
  <c r="AO312" i="162"/>
  <c r="AO313" i="162"/>
  <c r="AO314" i="162"/>
  <c r="AO316" i="162"/>
  <c r="AO317" i="162"/>
  <c r="AO318" i="162"/>
  <c r="AO319" i="162"/>
  <c r="AO320" i="162"/>
  <c r="AO321" i="162"/>
  <c r="AO322" i="162"/>
  <c r="AO323" i="162"/>
  <c r="AO324" i="162"/>
  <c r="AO325" i="162"/>
  <c r="AO309" i="162"/>
  <c r="AO300" i="162"/>
  <c r="AO287" i="162"/>
  <c r="AO263" i="162"/>
  <c r="AO264" i="162"/>
  <c r="AO265" i="162"/>
  <c r="AO266" i="162"/>
  <c r="AO267" i="162"/>
  <c r="AO268" i="162"/>
  <c r="AO269" i="162"/>
  <c r="AO270" i="162"/>
  <c r="AO271" i="162"/>
  <c r="AO272" i="162"/>
  <c r="AO273" i="162"/>
  <c r="AO274" i="162"/>
  <c r="AO275" i="162"/>
  <c r="AO276" i="162"/>
  <c r="AO277" i="162"/>
  <c r="AO278" i="162"/>
  <c r="AO279" i="162"/>
  <c r="AO280" i="162"/>
  <c r="AO281" i="162"/>
  <c r="AO282" i="162"/>
  <c r="AO262" i="162"/>
  <c r="AO234" i="162"/>
  <c r="AO218" i="162"/>
  <c r="AO187" i="162"/>
  <c r="AO176" i="162"/>
  <c r="AO161" i="162"/>
  <c r="AO162" i="162"/>
  <c r="AO151" i="162"/>
  <c r="AO152" i="162"/>
  <c r="AO154" i="162"/>
  <c r="AO150" i="162"/>
  <c r="AO147" i="162"/>
  <c r="AO146" i="162"/>
  <c r="AO144" i="162"/>
  <c r="AO126" i="162"/>
  <c r="AO129" i="162"/>
  <c r="AO116" i="162"/>
  <c r="AO101" i="162"/>
  <c r="AO86" i="162"/>
  <c r="AO90" i="162"/>
  <c r="AO91" i="162"/>
  <c r="AO92" i="162"/>
  <c r="AO82" i="162"/>
  <c r="AO74" i="162"/>
  <c r="AO75" i="162"/>
  <c r="AO67" i="162"/>
  <c r="AO64" i="162"/>
  <c r="AN410" i="162"/>
  <c r="AN415" i="162"/>
  <c r="AN470" i="162"/>
  <c r="AN396" i="162"/>
  <c r="AN395" i="162"/>
  <c r="AN364" i="162"/>
  <c r="AN370" i="162"/>
  <c r="AN300" i="162"/>
  <c r="AN263" i="162"/>
  <c r="AN264" i="162"/>
  <c r="AN265" i="162"/>
  <c r="AN266" i="162"/>
  <c r="AN267" i="162"/>
  <c r="AN268" i="162"/>
  <c r="AN269" i="162"/>
  <c r="AN270" i="162"/>
  <c r="AN271" i="162"/>
  <c r="AN272" i="162"/>
  <c r="AN273" i="162"/>
  <c r="AN274" i="162"/>
  <c r="AN275" i="162"/>
  <c r="AN276" i="162"/>
  <c r="AN277" i="162"/>
  <c r="AN278" i="162"/>
  <c r="AN279" i="162"/>
  <c r="AN280" i="162"/>
  <c r="AN281" i="162"/>
  <c r="AN282" i="162"/>
  <c r="AN262" i="162"/>
  <c r="AN187" i="162"/>
  <c r="AN176" i="162"/>
  <c r="AN150" i="162"/>
  <c r="AN74" i="162"/>
  <c r="AN75" i="162"/>
  <c r="AN64" i="162"/>
  <c r="AN44" i="162"/>
  <c r="AN42" i="162"/>
  <c r="S360" i="143" l="1"/>
  <c r="S361" i="143"/>
  <c r="S362" i="143"/>
  <c r="S363" i="143"/>
  <c r="S364" i="143"/>
  <c r="S359" i="143"/>
  <c r="S348" i="143"/>
  <c r="S349" i="143"/>
  <c r="S351" i="143"/>
  <c r="S352" i="143"/>
  <c r="S353" i="143"/>
  <c r="S354" i="143"/>
  <c r="S355" i="143"/>
  <c r="S347" i="143"/>
  <c r="S336" i="143"/>
  <c r="S337" i="143"/>
  <c r="S338" i="143"/>
  <c r="S339" i="143"/>
  <c r="S340" i="143"/>
  <c r="S341" i="143"/>
  <c r="S342" i="143"/>
  <c r="S343" i="143"/>
  <c r="S344" i="143"/>
  <c r="S335" i="143"/>
  <c r="S331" i="143"/>
  <c r="S332" i="143"/>
  <c r="S333" i="143"/>
  <c r="S329" i="143"/>
  <c r="S317" i="143"/>
  <c r="S318" i="143"/>
  <c r="S319" i="143"/>
  <c r="S320" i="143"/>
  <c r="S321" i="143"/>
  <c r="S322" i="143"/>
  <c r="S323" i="143"/>
  <c r="S324" i="143"/>
  <c r="S325" i="143"/>
  <c r="S326" i="143"/>
  <c r="S316" i="143"/>
  <c r="S304" i="143"/>
  <c r="S305" i="143"/>
  <c r="S306" i="143"/>
  <c r="S307" i="143"/>
  <c r="S308" i="143"/>
  <c r="S309" i="143"/>
  <c r="S310" i="143"/>
  <c r="S311" i="143"/>
  <c r="S312" i="143"/>
  <c r="S313" i="143"/>
  <c r="S303" i="143"/>
  <c r="S298" i="143"/>
  <c r="S299" i="143"/>
  <c r="S297" i="143"/>
  <c r="S285" i="143"/>
  <c r="S286" i="143"/>
  <c r="S287" i="143"/>
  <c r="S288" i="143"/>
  <c r="S289" i="143"/>
  <c r="S291" i="143"/>
  <c r="S284" i="143"/>
  <c r="S237" i="143"/>
  <c r="S234" i="143"/>
  <c r="S233" i="143"/>
  <c r="S230" i="143"/>
  <c r="S221" i="143"/>
  <c r="S222" i="143"/>
  <c r="S223" i="143"/>
  <c r="S224" i="143"/>
  <c r="S225" i="143"/>
  <c r="S226" i="143"/>
  <c r="S227" i="143"/>
  <c r="S228" i="143"/>
  <c r="S216" i="143"/>
  <c r="S217" i="143"/>
  <c r="S215" i="143"/>
  <c r="S213" i="143"/>
  <c r="S212" i="143"/>
  <c r="S207" i="143"/>
  <c r="S208" i="143"/>
  <c r="S209" i="143"/>
  <c r="S210" i="143"/>
  <c r="S206" i="143"/>
  <c r="S204" i="143"/>
  <c r="S201" i="143"/>
  <c r="S177" i="143"/>
  <c r="S178" i="143"/>
  <c r="S179" i="143"/>
  <c r="S180" i="143"/>
  <c r="S176" i="143"/>
  <c r="S168" i="143"/>
  <c r="S169" i="143"/>
  <c r="S170" i="143"/>
  <c r="S171" i="143"/>
  <c r="S172" i="143"/>
  <c r="S167" i="143"/>
  <c r="S161" i="143"/>
  <c r="S159" i="143"/>
  <c r="S156" i="143"/>
  <c r="S146" i="143"/>
  <c r="S147" i="143"/>
  <c r="S148" i="143"/>
  <c r="S149" i="143"/>
  <c r="S150" i="143"/>
  <c r="S151" i="143"/>
  <c r="S145" i="143"/>
  <c r="S132" i="143"/>
  <c r="S133" i="143"/>
  <c r="S131" i="143"/>
  <c r="S230" i="142"/>
  <c r="S229" i="142"/>
  <c r="S219" i="142"/>
  <c r="S221" i="142"/>
  <c r="S222" i="142"/>
  <c r="S223" i="142"/>
  <c r="S225" i="142"/>
  <c r="S206" i="142"/>
  <c r="S209" i="142"/>
  <c r="S212" i="142"/>
  <c r="S175" i="142"/>
  <c r="S130" i="142"/>
  <c r="S131" i="142"/>
  <c r="S132" i="142"/>
  <c r="S133" i="142"/>
  <c r="S134" i="142"/>
  <c r="S135" i="142"/>
  <c r="S136" i="142"/>
  <c r="S137" i="142"/>
  <c r="S138" i="142"/>
  <c r="S139" i="142"/>
  <c r="S140" i="142"/>
  <c r="S141" i="142"/>
  <c r="S142" i="142"/>
  <c r="S143" i="142"/>
  <c r="S145" i="142"/>
  <c r="S146" i="142"/>
  <c r="S148" i="142"/>
  <c r="S129" i="142"/>
  <c r="S124" i="142"/>
  <c r="S125" i="142"/>
  <c r="S126" i="142"/>
  <c r="S123" i="142"/>
  <c r="M9" i="139"/>
  <c r="L118" i="142"/>
  <c r="M118" i="142"/>
  <c r="P118" i="142"/>
  <c r="S234" i="142"/>
  <c r="S233" i="142"/>
  <c r="S232" i="142"/>
  <c r="S224" i="142"/>
  <c r="S220" i="142"/>
  <c r="S218" i="142"/>
  <c r="S217" i="142"/>
  <c r="S211" i="142"/>
  <c r="S210" i="142"/>
  <c r="S208" i="142"/>
  <c r="S207" i="142"/>
  <c r="S205" i="142"/>
  <c r="S204" i="142"/>
  <c r="S174" i="142"/>
  <c r="S173" i="142"/>
  <c r="S172" i="142"/>
  <c r="Q261" i="142"/>
  <c r="Q244" i="142"/>
  <c r="Q230" i="142"/>
  <c r="Q237" i="142" s="1"/>
  <c r="Q219" i="142"/>
  <c r="Q206" i="142"/>
  <c r="Q212" i="142"/>
  <c r="Q192" i="142"/>
  <c r="Q195" i="142"/>
  <c r="Q175" i="142"/>
  <c r="Q169" i="142"/>
  <c r="Q56" i="142"/>
  <c r="Q57" i="142" s="1"/>
  <c r="Q155" i="142"/>
  <c r="Q97" i="142"/>
  <c r="Q101" i="142"/>
  <c r="Q102" i="142"/>
  <c r="Q107" i="142"/>
  <c r="Q114" i="142"/>
  <c r="Q70" i="142"/>
  <c r="Q83" i="142"/>
  <c r="Q84" i="142"/>
  <c r="Q85" i="142"/>
  <c r="Q86" i="142"/>
  <c r="Q63" i="142"/>
  <c r="Q64" i="142"/>
  <c r="Q41" i="142"/>
  <c r="Q36" i="142"/>
  <c r="Q419" i="143"/>
  <c r="Q418" i="143"/>
  <c r="Q408" i="143"/>
  <c r="Q396" i="143"/>
  <c r="Q393" i="143"/>
  <c r="Q378" i="143"/>
  <c r="Q379" i="143"/>
  <c r="Q377" i="143"/>
  <c r="Q369" i="143"/>
  <c r="Q368" i="143"/>
  <c r="Q360" i="143"/>
  <c r="Q359" i="143"/>
  <c r="Q354" i="143"/>
  <c r="Q357" i="143" s="1"/>
  <c r="Q336" i="143"/>
  <c r="Q338" i="143"/>
  <c r="Q339" i="143"/>
  <c r="Q344" i="143"/>
  <c r="Q335" i="143"/>
  <c r="Q333" i="143"/>
  <c r="Q318" i="143"/>
  <c r="Q319" i="143"/>
  <c r="Q320" i="143"/>
  <c r="Q322" i="143"/>
  <c r="Q324" i="143"/>
  <c r="Q316" i="143"/>
  <c r="Q306" i="143"/>
  <c r="Q303" i="143"/>
  <c r="Q300" i="143"/>
  <c r="Q278" i="143"/>
  <c r="Q276" i="143"/>
  <c r="Q259" i="143"/>
  <c r="Q398" i="143"/>
  <c r="Q258" i="143"/>
  <c r="Q253" i="143"/>
  <c r="Q252" i="143"/>
  <c r="Q247" i="143"/>
  <c r="Q242" i="143"/>
  <c r="Q230" i="143"/>
  <c r="Q224" i="143"/>
  <c r="Q227" i="143"/>
  <c r="Q216" i="143"/>
  <c r="Q215" i="143"/>
  <c r="Q206" i="143"/>
  <c r="Q194" i="143"/>
  <c r="Q189" i="143"/>
  <c r="Q168" i="143"/>
  <c r="Q172" i="143"/>
  <c r="Q131" i="143"/>
  <c r="Q93" i="143"/>
  <c r="Q84" i="143"/>
  <c r="Q49" i="143"/>
  <c r="Q43" i="143"/>
  <c r="Q4" i="143"/>
  <c r="Q34" i="143"/>
  <c r="P50" i="143"/>
  <c r="K222" i="143"/>
  <c r="K221" i="143"/>
  <c r="P83" i="143"/>
  <c r="P409" i="143"/>
  <c r="P201" i="143"/>
  <c r="P178" i="143"/>
  <c r="P177" i="143"/>
  <c r="P176" i="143"/>
  <c r="P69" i="143"/>
  <c r="Q399" i="143" l="1"/>
  <c r="S366" i="143"/>
  <c r="Q214" i="142"/>
  <c r="Q200" i="142"/>
  <c r="R200" i="142"/>
  <c r="S202" i="142"/>
  <c r="S214" i="142" s="1"/>
  <c r="R214" i="142"/>
  <c r="S231" i="142"/>
  <c r="S237" i="142" s="1"/>
  <c r="R237" i="142"/>
  <c r="R188" i="142"/>
  <c r="S216" i="142"/>
  <c r="S227" i="142" s="1"/>
  <c r="R227" i="142"/>
  <c r="S357" i="143"/>
  <c r="Q67" i="142"/>
  <c r="Q262" i="142"/>
  <c r="N9" i="139"/>
  <c r="P9" i="139"/>
  <c r="P70" i="143"/>
  <c r="P54" i="143"/>
  <c r="P24" i="143"/>
  <c r="P15" i="143"/>
  <c r="P13" i="143"/>
  <c r="A185" i="143" l="1"/>
  <c r="H162" i="143"/>
  <c r="E162" i="143"/>
  <c r="A144" i="143"/>
  <c r="A143" i="143"/>
  <c r="A142" i="143"/>
  <c r="P413" i="143"/>
  <c r="P385" i="143"/>
  <c r="P331" i="143"/>
  <c r="AH168" i="162"/>
  <c r="AO168" i="162"/>
  <c r="AM168" i="162"/>
  <c r="AK93" i="162"/>
  <c r="AO444" i="162"/>
  <c r="P67" i="142" l="1"/>
  <c r="P204" i="142"/>
  <c r="P120" i="142"/>
  <c r="AN468" i="162" l="1"/>
  <c r="AL469" i="162"/>
  <c r="AN469" i="162" s="1"/>
  <c r="AN472" i="162"/>
  <c r="AN61" i="162"/>
  <c r="AL80" i="162"/>
  <c r="AN80" i="162" s="1"/>
  <c r="AL82" i="162"/>
  <c r="AL86" i="162"/>
  <c r="AN86" i="162" s="1"/>
  <c r="AL90" i="162"/>
  <c r="AN90" i="162" s="1"/>
  <c r="AL91" i="162"/>
  <c r="AN91" i="162" s="1"/>
  <c r="AL92" i="162"/>
  <c r="AN92" i="162" s="1"/>
  <c r="AL93" i="162"/>
  <c r="AN93" i="162" s="1"/>
  <c r="AL99" i="162"/>
  <c r="AN99" i="162" s="1"/>
  <c r="AL101" i="162"/>
  <c r="AL102" i="162" s="1"/>
  <c r="AL107" i="162"/>
  <c r="AL108" i="162" s="1"/>
  <c r="AL144" i="162"/>
  <c r="AN144" i="162" s="1"/>
  <c r="AL146" i="162"/>
  <c r="AL147" i="162"/>
  <c r="AN147" i="162" s="1"/>
  <c r="AN152" i="162"/>
  <c r="AN154" i="162"/>
  <c r="AL218" i="162"/>
  <c r="AN218" i="162" s="1"/>
  <c r="AL224" i="162"/>
  <c r="AN224" i="162" s="1"/>
  <c r="AL234" i="162"/>
  <c r="AN234" i="162" s="1"/>
  <c r="AL254" i="162"/>
  <c r="AL259" i="162"/>
  <c r="AN259" i="162" s="1"/>
  <c r="AL260" i="162"/>
  <c r="AN260" i="162" s="1"/>
  <c r="AL283" i="162"/>
  <c r="AL284" i="162" s="1"/>
  <c r="AL287" i="162"/>
  <c r="AL288" i="162"/>
  <c r="AN288" i="162" s="1"/>
  <c r="AL289" i="162"/>
  <c r="AN289" i="162" s="1"/>
  <c r="AN307" i="162"/>
  <c r="AL309" i="162"/>
  <c r="AL311" i="162"/>
  <c r="AN311" i="162" s="1"/>
  <c r="AL312" i="162"/>
  <c r="AN312" i="162" s="1"/>
  <c r="AL313" i="162"/>
  <c r="AN313" i="162" s="1"/>
  <c r="AL314" i="162"/>
  <c r="AN314" i="162" s="1"/>
  <c r="AL315" i="162"/>
  <c r="AN315" i="162" s="1"/>
  <c r="AL316" i="162"/>
  <c r="AN316" i="162" s="1"/>
  <c r="AL317" i="162"/>
  <c r="AN317" i="162" s="1"/>
  <c r="AL318" i="162"/>
  <c r="AN318" i="162" s="1"/>
  <c r="AL319" i="162"/>
  <c r="AN319" i="162" s="1"/>
  <c r="AL320" i="162"/>
  <c r="AN320" i="162" s="1"/>
  <c r="AL321" i="162"/>
  <c r="AN321" i="162" s="1"/>
  <c r="AL322" i="162"/>
  <c r="AN322" i="162" s="1"/>
  <c r="AL323" i="162"/>
  <c r="AN323" i="162" s="1"/>
  <c r="AL324" i="162"/>
  <c r="AN324" i="162" s="1"/>
  <c r="AL325" i="162"/>
  <c r="AN325" i="162" s="1"/>
  <c r="AL326" i="162"/>
  <c r="AN326" i="162" s="1"/>
  <c r="AL342" i="162"/>
  <c r="AN342" i="162" s="1"/>
  <c r="AL347" i="162"/>
  <c r="AL349" i="162"/>
  <c r="AN349" i="162" s="1"/>
  <c r="AL350" i="162"/>
  <c r="AN350" i="162" s="1"/>
  <c r="AN373" i="162"/>
  <c r="AN374" i="162"/>
  <c r="AL375" i="162"/>
  <c r="AN375" i="162" s="1"/>
  <c r="AL388" i="162"/>
  <c r="AN388" i="162" s="1"/>
  <c r="AL397" i="162"/>
  <c r="AL399" i="162" s="1"/>
  <c r="AO61" i="162"/>
  <c r="AM80" i="162"/>
  <c r="AO80" i="162" s="1"/>
  <c r="AM93" i="162"/>
  <c r="AO93" i="162" s="1"/>
  <c r="AM99" i="162"/>
  <c r="AO99" i="162" s="1"/>
  <c r="AM107" i="162"/>
  <c r="AM108" i="162" s="1"/>
  <c r="R160" i="143" s="1"/>
  <c r="AM259" i="162"/>
  <c r="AO259" i="162" s="1"/>
  <c r="AM260" i="162"/>
  <c r="AO260" i="162" s="1"/>
  <c r="AM283" i="162"/>
  <c r="AO289" i="162"/>
  <c r="AO307" i="162"/>
  <c r="AO326" i="162"/>
  <c r="AM342" i="162"/>
  <c r="AO342" i="162" s="1"/>
  <c r="AO349" i="162"/>
  <c r="AM350" i="162"/>
  <c r="AO350" i="162" s="1"/>
  <c r="AO373" i="162"/>
  <c r="AO374" i="162"/>
  <c r="AM375" i="162"/>
  <c r="AO375" i="162" s="1"/>
  <c r="AM388" i="162"/>
  <c r="AO468" i="162"/>
  <c r="AM469" i="162"/>
  <c r="AO469" i="162" s="1"/>
  <c r="AM475" i="162"/>
  <c r="AO475" i="162" s="1"/>
  <c r="AM477" i="162"/>
  <c r="AO477" i="162" s="1"/>
  <c r="AM478" i="162"/>
  <c r="AO478" i="162" s="1"/>
  <c r="AM479" i="162"/>
  <c r="AO479" i="162" s="1"/>
  <c r="AM480" i="162"/>
  <c r="AO480" i="162" s="1"/>
  <c r="AM481" i="162"/>
  <c r="AO481" i="162" s="1"/>
  <c r="AM482" i="162"/>
  <c r="AO482" i="162" s="1"/>
  <c r="AM483" i="162"/>
  <c r="AO483" i="162" s="1"/>
  <c r="AM484" i="162"/>
  <c r="AO484" i="162" s="1"/>
  <c r="AM485" i="162"/>
  <c r="AO485" i="162" s="1"/>
  <c r="AM486" i="162"/>
  <c r="AO486" i="162" s="1"/>
  <c r="AM284" i="162" l="1"/>
  <c r="R197" i="143" s="1"/>
  <c r="S197" i="143" s="1"/>
  <c r="AL149" i="162"/>
  <c r="AL290" i="162"/>
  <c r="AO388" i="162"/>
  <c r="AM389" i="162"/>
  <c r="R293" i="143" s="1"/>
  <c r="S293" i="143" s="1"/>
  <c r="AN347" i="162"/>
  <c r="AN309" i="162"/>
  <c r="AN287" i="162"/>
  <c r="AN151" i="162"/>
  <c r="AN146" i="162"/>
  <c r="AN82" i="162"/>
  <c r="AN101" i="162"/>
  <c r="AO283" i="162"/>
  <c r="AO44" i="162"/>
  <c r="AN283" i="162"/>
  <c r="AN107" i="162"/>
  <c r="AN397" i="162"/>
  <c r="AO107" i="162"/>
  <c r="O475" i="162"/>
  <c r="AL475" i="162" s="1"/>
  <c r="AN475" i="162" s="1"/>
  <c r="O477" i="162"/>
  <c r="AL477" i="162" s="1"/>
  <c r="AN477" i="162" s="1"/>
  <c r="O478" i="162"/>
  <c r="AL478" i="162" s="1"/>
  <c r="AN478" i="162" s="1"/>
  <c r="O479" i="162"/>
  <c r="AL479" i="162" s="1"/>
  <c r="AN479" i="162" s="1"/>
  <c r="O480" i="162"/>
  <c r="AL480" i="162" s="1"/>
  <c r="AN480" i="162" s="1"/>
  <c r="O481" i="162"/>
  <c r="AL481" i="162" s="1"/>
  <c r="AN481" i="162" s="1"/>
  <c r="O482" i="162"/>
  <c r="AL482" i="162" s="1"/>
  <c r="AN482" i="162" s="1"/>
  <c r="O483" i="162"/>
  <c r="AL483" i="162" s="1"/>
  <c r="AN483" i="162" s="1"/>
  <c r="O484" i="162"/>
  <c r="AL484" i="162" s="1"/>
  <c r="AN484" i="162" s="1"/>
  <c r="O485" i="162"/>
  <c r="AL485" i="162" s="1"/>
  <c r="AN485" i="162" s="1"/>
  <c r="O486" i="162"/>
  <c r="AL486" i="162" s="1"/>
  <c r="AN486" i="162" s="1"/>
  <c r="AH475" i="162"/>
  <c r="AH472" i="162"/>
  <c r="AH469" i="162"/>
  <c r="AH468" i="162"/>
  <c r="AH388" i="162"/>
  <c r="AH375" i="162"/>
  <c r="AH374" i="162"/>
  <c r="AH373" i="162"/>
  <c r="AH350" i="162"/>
  <c r="AH349" i="162"/>
  <c r="AH342" i="162"/>
  <c r="AH307" i="162"/>
  <c r="AH289" i="162"/>
  <c r="AH260" i="162"/>
  <c r="AH154" i="162"/>
  <c r="AH107" i="162"/>
  <c r="AH108" i="162" s="1"/>
  <c r="AH99" i="162"/>
  <c r="AH93" i="162"/>
  <c r="AH80" i="162"/>
  <c r="AH61" i="162"/>
  <c r="AH54" i="162"/>
  <c r="AH55" i="162" s="1"/>
  <c r="AH44" i="162"/>
  <c r="AH45" i="162" s="1"/>
  <c r="AH42" i="162"/>
  <c r="AI42" i="162" s="1"/>
  <c r="AO42" i="162" s="1"/>
  <c r="O422" i="162"/>
  <c r="AL422" i="162" s="1"/>
  <c r="AN422" i="162" s="1"/>
  <c r="O415" i="162"/>
  <c r="O410" i="162"/>
  <c r="O370" i="162"/>
  <c r="O363" i="162"/>
  <c r="AN363" i="162" s="1"/>
  <c r="O300" i="162"/>
  <c r="O282" i="162"/>
  <c r="O281" i="162"/>
  <c r="O280" i="162"/>
  <c r="O279" i="162"/>
  <c r="O278" i="162"/>
  <c r="O277" i="162"/>
  <c r="O276" i="162"/>
  <c r="O275" i="162"/>
  <c r="O274" i="162"/>
  <c r="O273" i="162"/>
  <c r="O272" i="162"/>
  <c r="O271" i="162"/>
  <c r="O270" i="162"/>
  <c r="O269" i="162"/>
  <c r="O268" i="162"/>
  <c r="O267" i="162"/>
  <c r="O266" i="162"/>
  <c r="O265" i="162"/>
  <c r="O264" i="162"/>
  <c r="O263" i="162"/>
  <c r="O262" i="162"/>
  <c r="O187" i="162"/>
  <c r="O176" i="162"/>
  <c r="O150" i="162"/>
  <c r="O75" i="162"/>
  <c r="O74" i="162"/>
  <c r="O24" i="162"/>
  <c r="J231" i="147"/>
  <c r="AH259" i="162"/>
  <c r="O284" i="162" l="1"/>
  <c r="AJ485" i="162"/>
  <c r="AK251" i="162"/>
  <c r="AJ25" i="162"/>
  <c r="AK4" i="162"/>
  <c r="AK5" i="162" s="1"/>
  <c r="AK8" i="162"/>
  <c r="AK12" i="162"/>
  <c r="AK13" i="162"/>
  <c r="AK14" i="162"/>
  <c r="AK15" i="162"/>
  <c r="AK16" i="162"/>
  <c r="AK17" i="162"/>
  <c r="AK18" i="162"/>
  <c r="AK24" i="162"/>
  <c r="AK25" i="162"/>
  <c r="AK29" i="162"/>
  <c r="AK30" i="162" s="1"/>
  <c r="AK31" i="162"/>
  <c r="AK33" i="162"/>
  <c r="AK36" i="162"/>
  <c r="AK38" i="162" s="1"/>
  <c r="AK39" i="162"/>
  <c r="AK40" i="162" s="1"/>
  <c r="AK41" i="162"/>
  <c r="AK43" i="162" s="1"/>
  <c r="AK46" i="162"/>
  <c r="AK47" i="162" s="1"/>
  <c r="AK48" i="162"/>
  <c r="AK49" i="162" s="1"/>
  <c r="AK50" i="162"/>
  <c r="AK51" i="162"/>
  <c r="AK52" i="162"/>
  <c r="AK56" i="162"/>
  <c r="AK58" i="162"/>
  <c r="AK59" i="162"/>
  <c r="AK60" i="162"/>
  <c r="AK65" i="162"/>
  <c r="AK66" i="162"/>
  <c r="AK69" i="162"/>
  <c r="AK123" i="162"/>
  <c r="AK70" i="162"/>
  <c r="AK71" i="162"/>
  <c r="AK72" i="162"/>
  <c r="AK73" i="162"/>
  <c r="AK109" i="162"/>
  <c r="AK74" i="162"/>
  <c r="AK124" i="162"/>
  <c r="AK75" i="162"/>
  <c r="AK125" i="162"/>
  <c r="AK76" i="162"/>
  <c r="AK110" i="162"/>
  <c r="AK77" i="162"/>
  <c r="AK78" i="162"/>
  <c r="AK79" i="162"/>
  <c r="AK82" i="162"/>
  <c r="AK83" i="162"/>
  <c r="AK84" i="162"/>
  <c r="AK85" i="162"/>
  <c r="AK86" i="162"/>
  <c r="AK87" i="162"/>
  <c r="AK88" i="162"/>
  <c r="AK103" i="162"/>
  <c r="AK89" i="162"/>
  <c r="AK90" i="162"/>
  <c r="AK91" i="162"/>
  <c r="AK92" i="162"/>
  <c r="AK97" i="162"/>
  <c r="AK98" i="162"/>
  <c r="AK101" i="162"/>
  <c r="AK102" i="162" s="1"/>
  <c r="AK158" i="162"/>
  <c r="AK159" i="162"/>
  <c r="AK104" i="162"/>
  <c r="AK112" i="162"/>
  <c r="AK113" i="162"/>
  <c r="AK114" i="162"/>
  <c r="AK115" i="162"/>
  <c r="AK111" i="162"/>
  <c r="AK116" i="162"/>
  <c r="AK117" i="162"/>
  <c r="AK118" i="162"/>
  <c r="AK119" i="162"/>
  <c r="AK120" i="162"/>
  <c r="AK121" i="162"/>
  <c r="AK126" i="162"/>
  <c r="AK127" i="162"/>
  <c r="AK128" i="162"/>
  <c r="AK129" i="162"/>
  <c r="AK130" i="162"/>
  <c r="AK131" i="162"/>
  <c r="AK94" i="162"/>
  <c r="AK140" i="162"/>
  <c r="AK141" i="162"/>
  <c r="AK142" i="162"/>
  <c r="AK144" i="162"/>
  <c r="AK209" i="162"/>
  <c r="AK210" i="162"/>
  <c r="AK223" i="162"/>
  <c r="AK147" i="162"/>
  <c r="AK149" i="162" s="1"/>
  <c r="AK150" i="162"/>
  <c r="AK155" i="162" s="1"/>
  <c r="AK160" i="162"/>
  <c r="AK161" i="162"/>
  <c r="AK162" i="162"/>
  <c r="AK164" i="162"/>
  <c r="AK165" i="162"/>
  <c r="AK167" i="162"/>
  <c r="AK170" i="162"/>
  <c r="AK171" i="162"/>
  <c r="AK172" i="162"/>
  <c r="AK173" i="162"/>
  <c r="AK174" i="162"/>
  <c r="AK175" i="162"/>
  <c r="AK176" i="162"/>
  <c r="AK178" i="162"/>
  <c r="AK179" i="162"/>
  <c r="AK180" i="162"/>
  <c r="AK181" i="162"/>
  <c r="AK182" i="162"/>
  <c r="AK183" i="162"/>
  <c r="AK184" i="162"/>
  <c r="AK185" i="162"/>
  <c r="AK186" i="162"/>
  <c r="AK187" i="162"/>
  <c r="AK188" i="162"/>
  <c r="AK189" i="162"/>
  <c r="AK190" i="162"/>
  <c r="AK191" i="162"/>
  <c r="AK476" i="162"/>
  <c r="AK192" i="162"/>
  <c r="AK194" i="162"/>
  <c r="AK195" i="162" s="1"/>
  <c r="AK196" i="162"/>
  <c r="AK197" i="162"/>
  <c r="AK198" i="162"/>
  <c r="AK199" i="162"/>
  <c r="AK200" i="162"/>
  <c r="AK201" i="162"/>
  <c r="AK202" i="162"/>
  <c r="AK204" i="162"/>
  <c r="AK205" i="162"/>
  <c r="AK132" i="162"/>
  <c r="AK206" i="162"/>
  <c r="AK211" i="162"/>
  <c r="AK212" i="162"/>
  <c r="AK213" i="162"/>
  <c r="AK214" i="162"/>
  <c r="AK215" i="162"/>
  <c r="AK216" i="162"/>
  <c r="AK217" i="162"/>
  <c r="AK218" i="162"/>
  <c r="AK219" i="162"/>
  <c r="AK225" i="162"/>
  <c r="AK226" i="162"/>
  <c r="AK227" i="162"/>
  <c r="AK228" i="162"/>
  <c r="AK229" i="162"/>
  <c r="AK230" i="162"/>
  <c r="AK232" i="162"/>
  <c r="AK233" i="162"/>
  <c r="AK234" i="162"/>
  <c r="AK235" i="162"/>
  <c r="AK237" i="162"/>
  <c r="AK241" i="162"/>
  <c r="AK242" i="162"/>
  <c r="AK244" i="162"/>
  <c r="AK245" i="162"/>
  <c r="AK246" i="162"/>
  <c r="AK248" i="162"/>
  <c r="AK249" i="162"/>
  <c r="AK250" i="162"/>
  <c r="AK252" i="162"/>
  <c r="AK253" i="162"/>
  <c r="AK255" i="162"/>
  <c r="AK256" i="162"/>
  <c r="AK257" i="162"/>
  <c r="AK285" i="162"/>
  <c r="AK286" i="162" s="1"/>
  <c r="AK291" i="162"/>
  <c r="AK292" i="162" s="1"/>
  <c r="AK294" i="162"/>
  <c r="AK295" i="162"/>
  <c r="AK296" i="162"/>
  <c r="AK297" i="162"/>
  <c r="AK303" i="162"/>
  <c r="AK304" i="162"/>
  <c r="AK306" i="162"/>
  <c r="AK308" i="162" s="1"/>
  <c r="AK328" i="162"/>
  <c r="AK329" i="162"/>
  <c r="AK331" i="162"/>
  <c r="AK332" i="162"/>
  <c r="AK333" i="162"/>
  <c r="AK335" i="162"/>
  <c r="AK338" i="162" s="1"/>
  <c r="AK339" i="162"/>
  <c r="AK340" i="162"/>
  <c r="AK341" i="162"/>
  <c r="AK344" i="162"/>
  <c r="AK345" i="162" s="1"/>
  <c r="AK346" i="162"/>
  <c r="AK347" i="162"/>
  <c r="AK348" i="162"/>
  <c r="AK352" i="162"/>
  <c r="AK353" i="162"/>
  <c r="AK354" i="162"/>
  <c r="AK359" i="162"/>
  <c r="AK360" i="162" s="1"/>
  <c r="AK362" i="162"/>
  <c r="AK365" i="162"/>
  <c r="AK367" i="162"/>
  <c r="AK368" i="162"/>
  <c r="AK370" i="162"/>
  <c r="AK372" i="162"/>
  <c r="AK381" i="162"/>
  <c r="AK382" i="162"/>
  <c r="AK383" i="162"/>
  <c r="AK384" i="162"/>
  <c r="AK391" i="162"/>
  <c r="AK394" i="162" s="1"/>
  <c r="AK395" i="162"/>
  <c r="AK396" i="162"/>
  <c r="AK397" i="162"/>
  <c r="AK400" i="162"/>
  <c r="AK401" i="162"/>
  <c r="AK402" i="162"/>
  <c r="AK403" i="162"/>
  <c r="AK404" i="162"/>
  <c r="AK405" i="162"/>
  <c r="AK406" i="162"/>
  <c r="AK407" i="162"/>
  <c r="AK408" i="162"/>
  <c r="AK409" i="162"/>
  <c r="AK410" i="162"/>
  <c r="AK411" i="162"/>
  <c r="AK412" i="162"/>
  <c r="AK413" i="162"/>
  <c r="AK415" i="162"/>
  <c r="AK416" i="162"/>
  <c r="AK417" i="162"/>
  <c r="AK418" i="162"/>
  <c r="AK419" i="162"/>
  <c r="AK420" i="162"/>
  <c r="AK421" i="162"/>
  <c r="AK422" i="162"/>
  <c r="AK423" i="162"/>
  <c r="AK424" i="162"/>
  <c r="AK425" i="162"/>
  <c r="AK426" i="162"/>
  <c r="AK427" i="162"/>
  <c r="AK428" i="162"/>
  <c r="AK430" i="162"/>
  <c r="AK431" i="162"/>
  <c r="AK433" i="162"/>
  <c r="AK435" i="162"/>
  <c r="AK436" i="162"/>
  <c r="AK437" i="162"/>
  <c r="AK438" i="162"/>
  <c r="AK439" i="162"/>
  <c r="AK440" i="162"/>
  <c r="AK441" i="162"/>
  <c r="AK442" i="162"/>
  <c r="AK443" i="162"/>
  <c r="AK445" i="162"/>
  <c r="AK446" i="162"/>
  <c r="AK448" i="162"/>
  <c r="AK449" i="162"/>
  <c r="AK450" i="162"/>
  <c r="AK451" i="162"/>
  <c r="AK452" i="162"/>
  <c r="AK454" i="162"/>
  <c r="AK455" i="162"/>
  <c r="AK456" i="162"/>
  <c r="AK457" i="162"/>
  <c r="AK458" i="162"/>
  <c r="AK459" i="162"/>
  <c r="AK460" i="162"/>
  <c r="AK461" i="162"/>
  <c r="AK463" i="162"/>
  <c r="AK464" i="162"/>
  <c r="AK465" i="162"/>
  <c r="AK466" i="162"/>
  <c r="AK467" i="162"/>
  <c r="AK2" i="162"/>
  <c r="AJ4" i="162"/>
  <c r="AJ5" i="162" s="1"/>
  <c r="AJ6" i="162"/>
  <c r="AJ7" i="162" s="1"/>
  <c r="AJ8" i="162"/>
  <c r="AJ9" i="162"/>
  <c r="AJ12" i="162"/>
  <c r="AJ13" i="162"/>
  <c r="AJ14" i="162"/>
  <c r="AJ15" i="162"/>
  <c r="AJ16" i="162"/>
  <c r="AJ17" i="162"/>
  <c r="AJ18" i="162"/>
  <c r="AJ24" i="162"/>
  <c r="AJ26" i="162" s="1"/>
  <c r="AJ27" i="162"/>
  <c r="AJ28" i="162" s="1"/>
  <c r="AJ29" i="162"/>
  <c r="AJ30" i="162" s="1"/>
  <c r="AJ31" i="162"/>
  <c r="AJ32" i="162"/>
  <c r="AJ33" i="162"/>
  <c r="AJ36" i="162"/>
  <c r="AJ38" i="162" s="1"/>
  <c r="AJ39" i="162"/>
  <c r="AJ40" i="162" s="1"/>
  <c r="AJ41" i="162"/>
  <c r="AJ43" i="162" s="1"/>
  <c r="AJ46" i="162"/>
  <c r="AJ47" i="162" s="1"/>
  <c r="AJ48" i="162"/>
  <c r="AJ49" i="162" s="1"/>
  <c r="AJ50" i="162"/>
  <c r="AJ51" i="162"/>
  <c r="AJ52" i="162"/>
  <c r="AJ56" i="162"/>
  <c r="AJ58" i="162"/>
  <c r="AJ59" i="162"/>
  <c r="AJ60" i="162"/>
  <c r="AJ65" i="162"/>
  <c r="AJ66" i="162"/>
  <c r="AJ69" i="162"/>
  <c r="AJ123" i="162"/>
  <c r="AJ70" i="162"/>
  <c r="AJ71" i="162"/>
  <c r="AJ72" i="162"/>
  <c r="AJ73" i="162"/>
  <c r="AJ109" i="162"/>
  <c r="AJ74" i="162"/>
  <c r="AJ75" i="162"/>
  <c r="AJ76" i="162"/>
  <c r="AJ110" i="162"/>
  <c r="AJ77" i="162"/>
  <c r="AJ78" i="162"/>
  <c r="AJ79" i="162"/>
  <c r="AJ82" i="162"/>
  <c r="AJ86" i="162"/>
  <c r="AJ88" i="162"/>
  <c r="AJ90" i="162"/>
  <c r="AJ92" i="162"/>
  <c r="AJ97" i="162"/>
  <c r="AJ98" i="162"/>
  <c r="AJ158" i="162"/>
  <c r="AJ159" i="162"/>
  <c r="AJ104" i="162"/>
  <c r="AJ112" i="162"/>
  <c r="AJ113" i="162"/>
  <c r="AJ114" i="162"/>
  <c r="AJ115" i="162"/>
  <c r="AJ111" i="162"/>
  <c r="AJ116" i="162"/>
  <c r="AJ118" i="162"/>
  <c r="AJ119" i="162"/>
  <c r="AJ120" i="162"/>
  <c r="AJ121" i="162"/>
  <c r="AJ126" i="162"/>
  <c r="AJ131" i="162"/>
  <c r="AJ94" i="162"/>
  <c r="AJ140" i="162"/>
  <c r="AJ144" i="162"/>
  <c r="AJ210" i="162"/>
  <c r="AJ223" i="162"/>
  <c r="AJ147" i="162"/>
  <c r="AJ149" i="162" s="1"/>
  <c r="AJ150" i="162"/>
  <c r="AJ155" i="162" s="1"/>
  <c r="AJ160" i="162"/>
  <c r="AJ161" i="162"/>
  <c r="AJ162" i="162"/>
  <c r="AJ164" i="162"/>
  <c r="AJ165" i="162"/>
  <c r="AJ166" i="162"/>
  <c r="AJ167" i="162"/>
  <c r="AJ170" i="162"/>
  <c r="AJ171" i="162"/>
  <c r="AJ172" i="162"/>
  <c r="AJ173" i="162"/>
  <c r="AJ174" i="162"/>
  <c r="AJ175" i="162"/>
  <c r="AJ176" i="162"/>
  <c r="AJ178" i="162"/>
  <c r="AJ179" i="162"/>
  <c r="AJ180" i="162"/>
  <c r="AJ181" i="162"/>
  <c r="AJ182" i="162"/>
  <c r="AJ183" i="162"/>
  <c r="AJ184" i="162"/>
  <c r="AJ185" i="162"/>
  <c r="AJ186" i="162"/>
  <c r="AJ187" i="162"/>
  <c r="AJ188" i="162"/>
  <c r="AJ189" i="162"/>
  <c r="AJ190" i="162"/>
  <c r="AJ191" i="162"/>
  <c r="AJ476" i="162"/>
  <c r="AJ192" i="162"/>
  <c r="AJ194" i="162"/>
  <c r="AJ195" i="162" s="1"/>
  <c r="AJ196" i="162"/>
  <c r="AJ197" i="162"/>
  <c r="AJ198" i="162"/>
  <c r="AJ199" i="162"/>
  <c r="AJ200" i="162"/>
  <c r="AJ201" i="162"/>
  <c r="AJ202" i="162"/>
  <c r="AJ205" i="162"/>
  <c r="AJ132" i="162"/>
  <c r="AJ211" i="162"/>
  <c r="AJ212" i="162"/>
  <c r="AJ213" i="162"/>
  <c r="AJ214" i="162"/>
  <c r="AJ215" i="162"/>
  <c r="AJ216" i="162"/>
  <c r="AJ217" i="162"/>
  <c r="AJ218" i="162"/>
  <c r="AJ219" i="162"/>
  <c r="AJ225" i="162"/>
  <c r="AJ226" i="162"/>
  <c r="AJ227" i="162"/>
  <c r="AJ228" i="162"/>
  <c r="AJ229" i="162"/>
  <c r="AJ232" i="162"/>
  <c r="AJ233" i="162"/>
  <c r="AJ234" i="162"/>
  <c r="AJ237" i="162"/>
  <c r="AJ241" i="162"/>
  <c r="AJ242" i="162"/>
  <c r="AJ244" i="162"/>
  <c r="AJ245" i="162"/>
  <c r="AJ246" i="162"/>
  <c r="AJ247" i="162"/>
  <c r="AJ248" i="162"/>
  <c r="AJ249" i="162"/>
  <c r="AJ250" i="162"/>
  <c r="AJ251" i="162"/>
  <c r="AJ252" i="162"/>
  <c r="AJ253" i="162"/>
  <c r="AJ255" i="162"/>
  <c r="AJ256" i="162"/>
  <c r="AJ257" i="162"/>
  <c r="AJ285" i="162"/>
  <c r="AJ286" i="162" s="1"/>
  <c r="AJ291" i="162"/>
  <c r="AJ292" i="162" s="1"/>
  <c r="AJ294" i="162"/>
  <c r="AJ295" i="162"/>
  <c r="AJ296" i="162"/>
  <c r="AJ297" i="162"/>
  <c r="AJ303" i="162"/>
  <c r="AJ304" i="162"/>
  <c r="AJ306" i="162"/>
  <c r="AJ308" i="162" s="1"/>
  <c r="AJ328" i="162"/>
  <c r="AJ329" i="162"/>
  <c r="AJ331" i="162"/>
  <c r="AJ332" i="162"/>
  <c r="AJ333" i="162"/>
  <c r="AJ335" i="162"/>
  <c r="AJ338" i="162" s="1"/>
  <c r="AJ339" i="162"/>
  <c r="AJ340" i="162"/>
  <c r="AJ341" i="162"/>
  <c r="AJ344" i="162"/>
  <c r="AJ345" i="162" s="1"/>
  <c r="AJ346" i="162"/>
  <c r="AJ347" i="162"/>
  <c r="AJ348" i="162"/>
  <c r="AJ352" i="162"/>
  <c r="AJ353" i="162"/>
  <c r="AJ354" i="162"/>
  <c r="AJ359" i="162"/>
  <c r="AJ360" i="162" s="1"/>
  <c r="AJ362" i="162"/>
  <c r="AJ365" i="162"/>
  <c r="AJ367" i="162"/>
  <c r="AJ368" i="162"/>
  <c r="AJ370" i="162"/>
  <c r="AJ372" i="162"/>
  <c r="AJ381" i="162"/>
  <c r="AJ382" i="162"/>
  <c r="AJ383" i="162"/>
  <c r="AJ384" i="162"/>
  <c r="AJ391" i="162"/>
  <c r="AJ394" i="162" s="1"/>
  <c r="AJ395" i="162"/>
  <c r="AJ396" i="162"/>
  <c r="AJ397" i="162"/>
  <c r="AJ400" i="162"/>
  <c r="AJ401" i="162"/>
  <c r="AJ402" i="162"/>
  <c r="AJ403" i="162"/>
  <c r="AJ404" i="162"/>
  <c r="AJ405" i="162"/>
  <c r="AJ406" i="162"/>
  <c r="AJ407" i="162"/>
  <c r="AJ408" i="162"/>
  <c r="AJ409" i="162"/>
  <c r="AJ410" i="162"/>
  <c r="AJ411" i="162"/>
  <c r="AJ412" i="162"/>
  <c r="AJ413" i="162"/>
  <c r="AJ415" i="162"/>
  <c r="AJ416" i="162"/>
  <c r="AJ417" i="162"/>
  <c r="AJ418" i="162"/>
  <c r="AJ419" i="162"/>
  <c r="AJ420" i="162"/>
  <c r="AJ421" i="162"/>
  <c r="AJ422" i="162"/>
  <c r="AJ423" i="162"/>
  <c r="AJ424" i="162"/>
  <c r="AJ425" i="162"/>
  <c r="AJ426" i="162"/>
  <c r="AJ427" i="162"/>
  <c r="AJ428" i="162"/>
  <c r="AJ430" i="162"/>
  <c r="AJ431" i="162"/>
  <c r="AJ433" i="162"/>
  <c r="AJ435" i="162"/>
  <c r="AJ436" i="162"/>
  <c r="AJ437" i="162"/>
  <c r="AJ438" i="162"/>
  <c r="AJ439" i="162"/>
  <c r="AJ440" i="162"/>
  <c r="AJ441" i="162"/>
  <c r="AJ442" i="162"/>
  <c r="AJ443" i="162"/>
  <c r="AJ445" i="162"/>
  <c r="AJ446" i="162"/>
  <c r="AJ447" i="162"/>
  <c r="AJ448" i="162"/>
  <c r="AJ449" i="162"/>
  <c r="AJ450" i="162"/>
  <c r="AJ451" i="162"/>
  <c r="AJ452" i="162"/>
  <c r="AJ454" i="162"/>
  <c r="AJ455" i="162"/>
  <c r="AJ456" i="162"/>
  <c r="AJ457" i="162"/>
  <c r="AJ458" i="162"/>
  <c r="AJ459" i="162"/>
  <c r="AJ460" i="162"/>
  <c r="AJ461" i="162"/>
  <c r="AJ463" i="162"/>
  <c r="AJ464" i="162"/>
  <c r="AJ465" i="162"/>
  <c r="AJ466" i="162"/>
  <c r="AJ467" i="162"/>
  <c r="AJ2" i="162"/>
  <c r="H431" i="168"/>
  <c r="K430" i="168"/>
  <c r="J430" i="168"/>
  <c r="I430" i="168"/>
  <c r="K423" i="168"/>
  <c r="J423" i="168"/>
  <c r="I423" i="168"/>
  <c r="K419" i="168"/>
  <c r="J419" i="168"/>
  <c r="I419" i="168"/>
  <c r="K414" i="168"/>
  <c r="J414" i="168"/>
  <c r="I410" i="168"/>
  <c r="I409" i="168"/>
  <c r="I395" i="168"/>
  <c r="I414" i="168" s="1"/>
  <c r="I431" i="168" s="1"/>
  <c r="K391" i="168"/>
  <c r="J391" i="168"/>
  <c r="I391" i="168"/>
  <c r="H391" i="168"/>
  <c r="K387" i="168"/>
  <c r="J387" i="168"/>
  <c r="I387" i="168"/>
  <c r="H387" i="168"/>
  <c r="K384" i="168"/>
  <c r="J384" i="168"/>
  <c r="I384" i="168"/>
  <c r="H384" i="168"/>
  <c r="K382" i="168"/>
  <c r="J382" i="168"/>
  <c r="I382" i="168"/>
  <c r="H382" i="168"/>
  <c r="K379" i="168"/>
  <c r="J379" i="168"/>
  <c r="H379" i="168"/>
  <c r="I376" i="168"/>
  <c r="I379" i="168" s="1"/>
  <c r="K374" i="168"/>
  <c r="J374" i="168"/>
  <c r="H374" i="168"/>
  <c r="I372" i="168"/>
  <c r="I374" i="168" s="1"/>
  <c r="K362" i="168"/>
  <c r="I362" i="168"/>
  <c r="H362" i="168"/>
  <c r="K360" i="168"/>
  <c r="J360" i="168"/>
  <c r="I360" i="168"/>
  <c r="K358" i="168"/>
  <c r="J358" i="168"/>
  <c r="I358" i="168"/>
  <c r="K356" i="168"/>
  <c r="I356" i="168"/>
  <c r="J354" i="168"/>
  <c r="H354" i="168"/>
  <c r="I353" i="168"/>
  <c r="I354" i="168" s="1"/>
  <c r="K350" i="168"/>
  <c r="AK247" i="162" s="1"/>
  <c r="K349" i="168"/>
  <c r="K334" i="168"/>
  <c r="I334" i="168"/>
  <c r="H322" i="168"/>
  <c r="J320" i="168"/>
  <c r="AJ235" i="162" s="1"/>
  <c r="H320" i="168"/>
  <c r="J319" i="168"/>
  <c r="AJ230" i="162" s="1"/>
  <c r="H319" i="168"/>
  <c r="J317" i="168"/>
  <c r="AJ209" i="162" s="1"/>
  <c r="H317" i="168"/>
  <c r="H315" i="168"/>
  <c r="J314" i="168"/>
  <c r="AJ206" i="162" s="1"/>
  <c r="H314" i="168"/>
  <c r="K313" i="168"/>
  <c r="J313" i="168"/>
  <c r="H308" i="168"/>
  <c r="H307" i="168"/>
  <c r="I304" i="168"/>
  <c r="I313" i="168" s="1"/>
  <c r="K302" i="168"/>
  <c r="J302" i="168"/>
  <c r="I302" i="168"/>
  <c r="H299" i="168"/>
  <c r="H298" i="168"/>
  <c r="H297" i="168"/>
  <c r="H296" i="168"/>
  <c r="H295" i="168"/>
  <c r="K287" i="168"/>
  <c r="I287" i="168"/>
  <c r="K285" i="168"/>
  <c r="I285" i="168"/>
  <c r="J270" i="168"/>
  <c r="J285" i="168" s="1"/>
  <c r="H270" i="168"/>
  <c r="H285" i="168" s="1"/>
  <c r="K265" i="168"/>
  <c r="J265" i="168"/>
  <c r="I265" i="168"/>
  <c r="K257" i="168"/>
  <c r="J257" i="168"/>
  <c r="I257" i="168"/>
  <c r="H257" i="168"/>
  <c r="K251" i="168"/>
  <c r="I251" i="168"/>
  <c r="K249" i="168"/>
  <c r="I249" i="168"/>
  <c r="K247" i="168"/>
  <c r="J247" i="168"/>
  <c r="I247" i="168"/>
  <c r="K244" i="168"/>
  <c r="I244" i="168"/>
  <c r="K241" i="168"/>
  <c r="I241" i="168"/>
  <c r="H240" i="168"/>
  <c r="J238" i="168"/>
  <c r="AJ141" i="162" s="1"/>
  <c r="H238" i="168"/>
  <c r="J237" i="168"/>
  <c r="H237" i="168"/>
  <c r="K236" i="168"/>
  <c r="I236" i="168"/>
  <c r="J235" i="168"/>
  <c r="H235" i="168"/>
  <c r="J232" i="168"/>
  <c r="AJ101" i="162" s="1"/>
  <c r="AJ102" i="162" s="1"/>
  <c r="H232" i="168"/>
  <c r="J231" i="168"/>
  <c r="H231" i="168"/>
  <c r="H230" i="168"/>
  <c r="K227" i="168"/>
  <c r="I224" i="168"/>
  <c r="I227" i="168" s="1"/>
  <c r="K223" i="168"/>
  <c r="I222" i="168"/>
  <c r="I223" i="168" s="1"/>
  <c r="H218" i="168"/>
  <c r="H217" i="168"/>
  <c r="H216" i="168"/>
  <c r="J215" i="168"/>
  <c r="AJ91" i="162" s="1"/>
  <c r="H215" i="168"/>
  <c r="J213" i="168"/>
  <c r="AJ89" i="162" s="1"/>
  <c r="H213" i="168"/>
  <c r="J212" i="168"/>
  <c r="AJ204" i="162" s="1"/>
  <c r="H212" i="168"/>
  <c r="J211" i="168"/>
  <c r="AJ103" i="162" s="1"/>
  <c r="H211" i="168"/>
  <c r="H210" i="168"/>
  <c r="H209" i="168"/>
  <c r="J208" i="168"/>
  <c r="AJ85" i="162" s="1"/>
  <c r="H208" i="168"/>
  <c r="J207" i="168"/>
  <c r="AJ84" i="162" s="1"/>
  <c r="H207" i="168"/>
  <c r="H206" i="168"/>
  <c r="J205" i="168"/>
  <c r="H205" i="168"/>
  <c r="K202" i="168"/>
  <c r="I202" i="168"/>
  <c r="J200" i="168"/>
  <c r="AJ127" i="162" s="1"/>
  <c r="H200" i="168"/>
  <c r="H199" i="168"/>
  <c r="J198" i="168"/>
  <c r="H198" i="168"/>
  <c r="J191" i="168"/>
  <c r="AJ130" i="162" s="1"/>
  <c r="H191" i="168"/>
  <c r="H189" i="168"/>
  <c r="J188" i="168"/>
  <c r="AJ125" i="162" s="1"/>
  <c r="H188" i="168"/>
  <c r="J187" i="168"/>
  <c r="AJ117" i="162" s="1"/>
  <c r="H187" i="168"/>
  <c r="J185" i="168"/>
  <c r="AJ124" i="162" s="1"/>
  <c r="H185" i="168"/>
  <c r="J182" i="168"/>
  <c r="AJ128" i="162" s="1"/>
  <c r="H182" i="168"/>
  <c r="J172" i="168"/>
  <c r="I172" i="168"/>
  <c r="H172" i="168"/>
  <c r="K169" i="168"/>
  <c r="K172" i="168" s="1"/>
  <c r="K168" i="168"/>
  <c r="I168" i="168"/>
  <c r="H168" i="168"/>
  <c r="J166" i="168"/>
  <c r="J168" i="168" s="1"/>
  <c r="J155" i="168"/>
  <c r="I155" i="168"/>
  <c r="H155" i="168"/>
  <c r="K130" i="168"/>
  <c r="K127" i="168"/>
  <c r="K84" i="168"/>
  <c r="J84" i="168"/>
  <c r="I84" i="168"/>
  <c r="H84" i="168"/>
  <c r="K79" i="168"/>
  <c r="J79" i="168"/>
  <c r="I79" i="168"/>
  <c r="H79" i="168"/>
  <c r="K77" i="168"/>
  <c r="J77" i="168"/>
  <c r="I77" i="168"/>
  <c r="H77" i="168"/>
  <c r="K71" i="168"/>
  <c r="J71" i="168"/>
  <c r="I67" i="168"/>
  <c r="I71" i="168" s="1"/>
  <c r="K66" i="168"/>
  <c r="J66" i="168"/>
  <c r="I66" i="168"/>
  <c r="K64" i="168"/>
  <c r="J64" i="168"/>
  <c r="I64" i="168"/>
  <c r="K60" i="168"/>
  <c r="J60" i="168"/>
  <c r="I60" i="168"/>
  <c r="K58" i="168"/>
  <c r="J58" i="168"/>
  <c r="I58" i="168"/>
  <c r="H58" i="168"/>
  <c r="K49" i="168"/>
  <c r="J49" i="168"/>
  <c r="I49" i="168"/>
  <c r="H49" i="168"/>
  <c r="K45" i="168"/>
  <c r="J45" i="168"/>
  <c r="I45" i="168"/>
  <c r="H45" i="168"/>
  <c r="K43" i="168"/>
  <c r="J43" i="168"/>
  <c r="I43" i="168"/>
  <c r="H43" i="168"/>
  <c r="K41" i="168"/>
  <c r="J41" i="168"/>
  <c r="I41" i="168"/>
  <c r="K39" i="168"/>
  <c r="J39" i="168"/>
  <c r="I39" i="168"/>
  <c r="H39" i="168"/>
  <c r="K36" i="168"/>
  <c r="J36" i="168"/>
  <c r="I36" i="168"/>
  <c r="H36" i="168"/>
  <c r="K34" i="168"/>
  <c r="J34" i="168"/>
  <c r="I34" i="168"/>
  <c r="H34" i="168"/>
  <c r="J32" i="168"/>
  <c r="I32" i="168"/>
  <c r="H32" i="168"/>
  <c r="K31" i="168"/>
  <c r="AK32" i="162" s="1"/>
  <c r="I31" i="168"/>
  <c r="K28" i="168"/>
  <c r="K32" i="168" s="1"/>
  <c r="K27" i="168"/>
  <c r="J27" i="168"/>
  <c r="I27" i="168"/>
  <c r="K25" i="168"/>
  <c r="J25" i="168"/>
  <c r="K23" i="168"/>
  <c r="AK27" i="162" s="1"/>
  <c r="AK28" i="162" s="1"/>
  <c r="I23" i="168"/>
  <c r="I25" i="168" s="1"/>
  <c r="K22" i="168"/>
  <c r="J22" i="168"/>
  <c r="I22" i="168"/>
  <c r="H22" i="168"/>
  <c r="K19" i="168"/>
  <c r="J19" i="168"/>
  <c r="I19" i="168"/>
  <c r="J10" i="168"/>
  <c r="I10" i="168"/>
  <c r="K8" i="168"/>
  <c r="AK9" i="162" s="1"/>
  <c r="J7" i="168"/>
  <c r="I7" i="168"/>
  <c r="K6" i="168"/>
  <c r="AK6" i="162" s="1"/>
  <c r="AK7" i="162" s="1"/>
  <c r="K5" i="168"/>
  <c r="J5" i="168"/>
  <c r="I5" i="168"/>
  <c r="K3" i="168"/>
  <c r="J3" i="168"/>
  <c r="I3" i="168"/>
  <c r="H3" i="168"/>
  <c r="AJ399" i="162" l="1"/>
  <c r="AK399" i="162"/>
  <c r="AJ208" i="162"/>
  <c r="AJ385" i="162"/>
  <c r="AK385" i="162"/>
  <c r="AJ3" i="162"/>
  <c r="AK3" i="162"/>
  <c r="AK106" i="162"/>
  <c r="AJ487" i="162"/>
  <c r="AJ380" i="162"/>
  <c r="AJ305" i="162"/>
  <c r="AK380" i="162"/>
  <c r="AK305" i="162"/>
  <c r="AJ358" i="162"/>
  <c r="AK358" i="162"/>
  <c r="AJ351" i="162"/>
  <c r="AK351" i="162"/>
  <c r="AJ343" i="162"/>
  <c r="AK343" i="162"/>
  <c r="AJ334" i="162"/>
  <c r="AK334" i="162"/>
  <c r="AJ330" i="162"/>
  <c r="AK330" i="162"/>
  <c r="AJ222" i="162"/>
  <c r="AJ302" i="162"/>
  <c r="AK302" i="162"/>
  <c r="AJ261" i="162"/>
  <c r="AJ243" i="162"/>
  <c r="AK261" i="162"/>
  <c r="AK243" i="162"/>
  <c r="AJ240" i="162"/>
  <c r="AK240" i="162"/>
  <c r="AK222" i="162"/>
  <c r="AK208" i="162"/>
  <c r="AK203" i="162"/>
  <c r="AK177" i="162"/>
  <c r="AJ203" i="162"/>
  <c r="AK193" i="162"/>
  <c r="AJ106" i="162"/>
  <c r="AJ193" i="162"/>
  <c r="AJ177" i="162"/>
  <c r="AJ68" i="162"/>
  <c r="AJ169" i="162"/>
  <c r="AK169" i="162"/>
  <c r="AK163" i="162"/>
  <c r="AJ163" i="162"/>
  <c r="AK145" i="162"/>
  <c r="AK133" i="162"/>
  <c r="AK122" i="162"/>
  <c r="AJ122" i="162"/>
  <c r="AJ100" i="162"/>
  <c r="AK100" i="162"/>
  <c r="AK96" i="162"/>
  <c r="AJ81" i="162"/>
  <c r="AK68" i="162"/>
  <c r="AK81" i="162"/>
  <c r="AK63" i="162"/>
  <c r="AJ63" i="162"/>
  <c r="AK53" i="162"/>
  <c r="AJ53" i="162"/>
  <c r="AJ35" i="162"/>
  <c r="AK35" i="162"/>
  <c r="AK26" i="162"/>
  <c r="AK23" i="162"/>
  <c r="AJ23" i="162"/>
  <c r="AJ11" i="162"/>
  <c r="AK11" i="162"/>
  <c r="T67" i="143"/>
  <c r="H156" i="168"/>
  <c r="J223" i="168"/>
  <c r="K155" i="168"/>
  <c r="J236" i="168"/>
  <c r="J392" i="168" s="1"/>
  <c r="J241" i="168"/>
  <c r="T229" i="143"/>
  <c r="T183" i="143"/>
  <c r="T181" i="143"/>
  <c r="T173" i="143"/>
  <c r="T166" i="143"/>
  <c r="T153" i="143"/>
  <c r="T143" i="143"/>
  <c r="AJ142" i="162"/>
  <c r="AJ145" i="162" s="1"/>
  <c r="K7" i="168"/>
  <c r="K10" i="168"/>
  <c r="K354" i="168"/>
  <c r="K392" i="168" s="1"/>
  <c r="AJ87" i="162"/>
  <c r="AJ83" i="162"/>
  <c r="AK447" i="162"/>
  <c r="AK487" i="162" s="1"/>
  <c r="J334" i="168"/>
  <c r="AJ129" i="162"/>
  <c r="AJ133" i="162" s="1"/>
  <c r="H202" i="168"/>
  <c r="H223" i="168"/>
  <c r="H236" i="168"/>
  <c r="J431" i="168"/>
  <c r="K431" i="168"/>
  <c r="J156" i="168"/>
  <c r="K156" i="168"/>
  <c r="J202" i="168"/>
  <c r="I392" i="168"/>
  <c r="I156" i="168"/>
  <c r="AH4" i="162"/>
  <c r="AH5" i="162" s="1"/>
  <c r="AH6" i="162"/>
  <c r="AH7" i="162" s="1"/>
  <c r="AH8" i="162"/>
  <c r="AH9" i="162"/>
  <c r="AH12" i="162"/>
  <c r="AH13" i="162"/>
  <c r="AH14" i="162"/>
  <c r="AH15" i="162"/>
  <c r="AH16" i="162"/>
  <c r="AH17" i="162"/>
  <c r="AH18" i="162"/>
  <c r="AH24" i="162"/>
  <c r="AH25" i="162"/>
  <c r="AH27" i="162"/>
  <c r="AH28" i="162" s="1"/>
  <c r="AH29" i="162"/>
  <c r="AH30" i="162" s="1"/>
  <c r="AH31" i="162"/>
  <c r="AH32" i="162"/>
  <c r="AH33" i="162"/>
  <c r="AH36" i="162"/>
  <c r="AH38" i="162" s="1"/>
  <c r="AH39" i="162"/>
  <c r="AH40" i="162" s="1"/>
  <c r="AH41" i="162"/>
  <c r="AH43" i="162" s="1"/>
  <c r="AH46" i="162"/>
  <c r="AH47" i="162" s="1"/>
  <c r="AH48" i="162"/>
  <c r="AH49" i="162" s="1"/>
  <c r="AH50" i="162"/>
  <c r="AH51" i="162"/>
  <c r="AH52" i="162"/>
  <c r="AH56" i="162"/>
  <c r="AH57" i="162"/>
  <c r="AH58" i="162"/>
  <c r="AH59" i="162"/>
  <c r="AH60" i="162"/>
  <c r="AH65" i="162"/>
  <c r="AH66" i="162"/>
  <c r="AH67" i="162"/>
  <c r="AH69" i="162"/>
  <c r="AH123" i="162"/>
  <c r="AH70" i="162"/>
  <c r="AH71" i="162"/>
  <c r="AH72" i="162"/>
  <c r="AH73" i="162"/>
  <c r="AH109" i="162"/>
  <c r="AH74" i="162"/>
  <c r="AH124" i="162"/>
  <c r="AH75" i="162"/>
  <c r="AH125" i="162"/>
  <c r="AH76" i="162"/>
  <c r="AH110" i="162"/>
  <c r="AH77" i="162"/>
  <c r="AH78" i="162"/>
  <c r="AH79" i="162"/>
  <c r="AH82" i="162"/>
  <c r="AH83" i="162"/>
  <c r="AH84" i="162"/>
  <c r="AH85" i="162"/>
  <c r="AH86" i="162"/>
  <c r="AH87" i="162"/>
  <c r="AH88" i="162"/>
  <c r="AH103" i="162"/>
  <c r="AH89" i="162"/>
  <c r="AH90" i="162"/>
  <c r="AH91" i="162"/>
  <c r="AH92" i="162"/>
  <c r="AH97" i="162"/>
  <c r="AH98" i="162"/>
  <c r="AH101" i="162"/>
  <c r="AH102" i="162" s="1"/>
  <c r="AH158" i="162"/>
  <c r="AH159" i="162"/>
  <c r="AH104" i="162"/>
  <c r="AH112" i="162"/>
  <c r="AH113" i="162"/>
  <c r="AH114" i="162"/>
  <c r="AH115" i="162"/>
  <c r="AH111" i="162"/>
  <c r="AH116" i="162"/>
  <c r="AH117" i="162"/>
  <c r="AH118" i="162"/>
  <c r="AH119" i="162"/>
  <c r="AH120" i="162"/>
  <c r="AH121" i="162"/>
  <c r="AH126" i="162"/>
  <c r="AH127" i="162"/>
  <c r="AH128" i="162"/>
  <c r="AH129" i="162"/>
  <c r="AH130" i="162"/>
  <c r="AH131" i="162"/>
  <c r="AH94" i="162"/>
  <c r="AH140" i="162"/>
  <c r="AH141" i="162"/>
  <c r="AH142" i="162"/>
  <c r="AH143" i="162"/>
  <c r="AH144" i="162"/>
  <c r="AH209" i="162"/>
  <c r="AH210" i="162"/>
  <c r="AH223" i="162"/>
  <c r="AH146" i="162"/>
  <c r="AH147" i="162"/>
  <c r="AH150" i="162"/>
  <c r="AH151" i="162"/>
  <c r="AH152" i="162"/>
  <c r="AH153" i="162"/>
  <c r="AH160" i="162"/>
  <c r="AH161" i="162"/>
  <c r="AH162" i="162"/>
  <c r="AH164" i="162"/>
  <c r="AH165" i="162"/>
  <c r="AH166" i="162"/>
  <c r="AH167" i="162"/>
  <c r="AH170" i="162"/>
  <c r="AH171" i="162"/>
  <c r="AH172" i="162"/>
  <c r="AH173" i="162"/>
  <c r="AH174" i="162"/>
  <c r="AH175" i="162"/>
  <c r="AH176" i="162"/>
  <c r="AH178" i="162"/>
  <c r="AH179" i="162"/>
  <c r="AH180" i="162"/>
  <c r="AH181" i="162"/>
  <c r="AH182" i="162"/>
  <c r="AH183" i="162"/>
  <c r="AH184" i="162"/>
  <c r="AH185" i="162"/>
  <c r="AH186" i="162"/>
  <c r="AH187" i="162"/>
  <c r="AH188" i="162"/>
  <c r="AH189" i="162"/>
  <c r="AH190" i="162"/>
  <c r="AH191" i="162"/>
  <c r="AH476" i="162"/>
  <c r="AH192" i="162"/>
  <c r="AH194" i="162"/>
  <c r="AH195" i="162" s="1"/>
  <c r="AH196" i="162"/>
  <c r="AH197" i="162"/>
  <c r="AH198" i="162"/>
  <c r="AH199" i="162"/>
  <c r="AH200" i="162"/>
  <c r="AH201" i="162"/>
  <c r="AH202" i="162"/>
  <c r="AH204" i="162"/>
  <c r="AH205" i="162"/>
  <c r="AH132" i="162"/>
  <c r="AH206" i="162"/>
  <c r="AH211" i="162"/>
  <c r="AH212" i="162"/>
  <c r="AH213" i="162"/>
  <c r="AH214" i="162"/>
  <c r="AH215" i="162"/>
  <c r="AH216" i="162"/>
  <c r="AH217" i="162"/>
  <c r="AH218" i="162"/>
  <c r="AH219" i="162"/>
  <c r="AH224" i="162"/>
  <c r="AH225" i="162"/>
  <c r="AH226" i="162"/>
  <c r="AH227" i="162"/>
  <c r="AH228" i="162"/>
  <c r="AH229" i="162"/>
  <c r="AH230" i="162"/>
  <c r="AH231" i="162"/>
  <c r="AH232" i="162"/>
  <c r="AH233" i="162"/>
  <c r="AH234" i="162"/>
  <c r="AH235" i="162"/>
  <c r="AH236" i="162"/>
  <c r="AH237" i="162"/>
  <c r="AH241" i="162"/>
  <c r="AH242" i="162"/>
  <c r="AH244" i="162"/>
  <c r="AH245" i="162"/>
  <c r="AH246" i="162"/>
  <c r="AH247" i="162"/>
  <c r="AH248" i="162"/>
  <c r="AH249" i="162"/>
  <c r="AH250" i="162"/>
  <c r="AH251" i="162"/>
  <c r="AH252" i="162"/>
  <c r="AH253" i="162"/>
  <c r="AH254" i="162"/>
  <c r="AH255" i="162"/>
  <c r="AH256" i="162"/>
  <c r="AH257" i="162"/>
  <c r="AH258" i="162"/>
  <c r="AH262" i="162"/>
  <c r="AH263" i="162"/>
  <c r="AH264" i="162"/>
  <c r="AH265" i="162"/>
  <c r="AH266" i="162"/>
  <c r="AH267" i="162"/>
  <c r="AH268" i="162"/>
  <c r="AH269" i="162"/>
  <c r="AH270" i="162"/>
  <c r="AH271" i="162"/>
  <c r="AH272" i="162"/>
  <c r="AH273" i="162"/>
  <c r="AH274" i="162"/>
  <c r="AH275" i="162"/>
  <c r="AH276" i="162"/>
  <c r="AH277" i="162"/>
  <c r="AH278" i="162"/>
  <c r="AH279" i="162"/>
  <c r="AH280" i="162"/>
  <c r="AH281" i="162"/>
  <c r="AH282" i="162"/>
  <c r="AH285" i="162"/>
  <c r="AH286" i="162" s="1"/>
  <c r="AH287" i="162"/>
  <c r="AH288" i="162"/>
  <c r="AH291" i="162"/>
  <c r="AH292" i="162" s="1"/>
  <c r="AH293" i="162"/>
  <c r="AH294" i="162"/>
  <c r="AH295" i="162"/>
  <c r="AH296" i="162"/>
  <c r="AH297" i="162"/>
  <c r="AH298" i="162"/>
  <c r="AH299" i="162"/>
  <c r="AH300" i="162"/>
  <c r="AH301" i="162"/>
  <c r="AH303" i="162"/>
  <c r="AH304" i="162"/>
  <c r="AH306" i="162"/>
  <c r="AH308" i="162" s="1"/>
  <c r="AH309" i="162"/>
  <c r="AH310" i="162"/>
  <c r="AH311" i="162"/>
  <c r="AH312" i="162"/>
  <c r="AH313" i="162"/>
  <c r="AH314" i="162"/>
  <c r="AH315" i="162"/>
  <c r="AH316" i="162"/>
  <c r="AH317" i="162"/>
  <c r="AH318" i="162"/>
  <c r="AH319" i="162"/>
  <c r="AH320" i="162"/>
  <c r="AH321" i="162"/>
  <c r="AH322" i="162"/>
  <c r="AH323" i="162"/>
  <c r="AH324" i="162"/>
  <c r="AH325" i="162"/>
  <c r="AH328" i="162"/>
  <c r="AH329" i="162"/>
  <c r="AH331" i="162"/>
  <c r="AH332" i="162"/>
  <c r="AH333" i="162"/>
  <c r="AH335" i="162"/>
  <c r="AH338" i="162" s="1"/>
  <c r="AH339" i="162"/>
  <c r="AH340" i="162"/>
  <c r="AH341" i="162"/>
  <c r="AH344" i="162"/>
  <c r="AH345" i="162" s="1"/>
  <c r="AH346" i="162"/>
  <c r="AH348" i="162"/>
  <c r="AH352" i="162"/>
  <c r="AH353" i="162"/>
  <c r="AH354" i="162"/>
  <c r="AH359" i="162"/>
  <c r="AH360" i="162" s="1"/>
  <c r="AH361" i="162"/>
  <c r="AH362" i="162"/>
  <c r="AH363" i="162"/>
  <c r="AH364" i="162"/>
  <c r="AH365" i="162"/>
  <c r="AH366" i="162"/>
  <c r="AH367" i="162"/>
  <c r="AH368" i="162"/>
  <c r="AH369" i="162"/>
  <c r="AH370" i="162"/>
  <c r="AH371" i="162"/>
  <c r="AH372" i="162"/>
  <c r="AH381" i="162"/>
  <c r="AH382" i="162"/>
  <c r="AH383" i="162"/>
  <c r="AH384" i="162"/>
  <c r="AH376" i="162"/>
  <c r="AH386" i="162"/>
  <c r="AH387" i="162"/>
  <c r="AH390" i="162"/>
  <c r="AH391" i="162"/>
  <c r="AH392" i="162"/>
  <c r="AH393" i="162"/>
  <c r="AH395" i="162"/>
  <c r="AH396" i="162"/>
  <c r="AH397" i="162"/>
  <c r="AH400" i="162"/>
  <c r="AH401" i="162"/>
  <c r="AH402" i="162"/>
  <c r="AH403" i="162"/>
  <c r="AH404" i="162"/>
  <c r="AH405" i="162"/>
  <c r="AH406" i="162"/>
  <c r="AH407" i="162"/>
  <c r="AH408" i="162"/>
  <c r="AH409" i="162"/>
  <c r="AH410" i="162"/>
  <c r="AH411" i="162"/>
  <c r="AH412" i="162"/>
  <c r="AH413" i="162"/>
  <c r="AH414" i="162"/>
  <c r="AH415" i="162"/>
  <c r="AH416" i="162"/>
  <c r="AH417" i="162"/>
  <c r="AH418" i="162"/>
  <c r="AH419" i="162"/>
  <c r="AH420" i="162"/>
  <c r="AH421" i="162"/>
  <c r="AH422" i="162"/>
  <c r="AH423" i="162"/>
  <c r="AH424" i="162"/>
  <c r="AH425" i="162"/>
  <c r="AH426" i="162"/>
  <c r="AH427" i="162"/>
  <c r="AH428" i="162"/>
  <c r="AH429" i="162"/>
  <c r="AH430" i="162"/>
  <c r="AH431" i="162"/>
  <c r="AH432" i="162"/>
  <c r="AI432" i="162" s="1"/>
  <c r="AO432" i="162" s="1"/>
  <c r="AH433" i="162"/>
  <c r="AH434" i="162"/>
  <c r="AH435" i="162"/>
  <c r="AH436" i="162"/>
  <c r="AH437" i="162"/>
  <c r="AH438" i="162"/>
  <c r="AH439" i="162"/>
  <c r="AH440" i="162"/>
  <c r="AH441" i="162"/>
  <c r="AH442" i="162"/>
  <c r="AH443" i="162"/>
  <c r="AH444" i="162"/>
  <c r="AH445" i="162"/>
  <c r="AH446" i="162"/>
  <c r="AH447" i="162"/>
  <c r="AH448" i="162"/>
  <c r="AH449" i="162"/>
  <c r="AH450" i="162"/>
  <c r="AH451" i="162"/>
  <c r="AH452" i="162"/>
  <c r="AH453" i="162"/>
  <c r="AH454" i="162"/>
  <c r="AH455" i="162"/>
  <c r="AH456" i="162"/>
  <c r="AH457" i="162"/>
  <c r="AH458" i="162"/>
  <c r="AH459" i="162"/>
  <c r="AH460" i="162"/>
  <c r="AH461" i="162"/>
  <c r="AH462" i="162"/>
  <c r="AH463" i="162"/>
  <c r="AH464" i="162"/>
  <c r="AH465" i="162"/>
  <c r="AH466" i="162"/>
  <c r="AH467" i="162"/>
  <c r="AH474" i="162"/>
  <c r="AH2" i="162"/>
  <c r="N722" i="163"/>
  <c r="N720" i="163"/>
  <c r="N718" i="163"/>
  <c r="N716" i="163"/>
  <c r="N714" i="163"/>
  <c r="N711" i="163"/>
  <c r="N707" i="163"/>
  <c r="N705" i="163"/>
  <c r="N703" i="163"/>
  <c r="N701" i="163"/>
  <c r="N699" i="163"/>
  <c r="N697" i="163"/>
  <c r="N695" i="163"/>
  <c r="N693" i="163"/>
  <c r="N691" i="163"/>
  <c r="N688" i="163"/>
  <c r="N686" i="163"/>
  <c r="N683" i="163"/>
  <c r="N681" i="163"/>
  <c r="N678" i="163"/>
  <c r="N676" i="163"/>
  <c r="N674" i="163"/>
  <c r="N672" i="163"/>
  <c r="N669" i="163"/>
  <c r="N667" i="163"/>
  <c r="N665" i="163"/>
  <c r="N663" i="163"/>
  <c r="N661" i="163"/>
  <c r="N659" i="163"/>
  <c r="N657" i="163"/>
  <c r="N655" i="163"/>
  <c r="N653" i="163"/>
  <c r="N651" i="163"/>
  <c r="N649" i="163"/>
  <c r="N647" i="163"/>
  <c r="N644" i="163"/>
  <c r="N642" i="163"/>
  <c r="N640" i="163"/>
  <c r="N638" i="163"/>
  <c r="N636" i="163"/>
  <c r="N634" i="163"/>
  <c r="N632" i="163"/>
  <c r="N629" i="163"/>
  <c r="N625" i="163"/>
  <c r="N623" i="163"/>
  <c r="N621" i="163"/>
  <c r="N619" i="163"/>
  <c r="N617" i="163"/>
  <c r="N615" i="163"/>
  <c r="N613" i="163"/>
  <c r="N611" i="163"/>
  <c r="N609" i="163"/>
  <c r="N607" i="163"/>
  <c r="N605" i="163"/>
  <c r="N603" i="163"/>
  <c r="N601" i="163"/>
  <c r="N599" i="163"/>
  <c r="N597" i="163"/>
  <c r="N593" i="163"/>
  <c r="N591" i="163"/>
  <c r="N589" i="163"/>
  <c r="N587" i="163"/>
  <c r="N585" i="163"/>
  <c r="N583" i="163"/>
  <c r="N581" i="163"/>
  <c r="N579" i="163"/>
  <c r="N577" i="163"/>
  <c r="N574" i="163"/>
  <c r="N572" i="163"/>
  <c r="N570" i="163"/>
  <c r="N568" i="163"/>
  <c r="N566" i="163"/>
  <c r="N564" i="163"/>
  <c r="N562" i="163"/>
  <c r="N560" i="163"/>
  <c r="N558" i="163"/>
  <c r="N556" i="163"/>
  <c r="N554" i="163"/>
  <c r="N552" i="163"/>
  <c r="N550" i="163"/>
  <c r="N548" i="163"/>
  <c r="N546" i="163"/>
  <c r="N544" i="163"/>
  <c r="N542" i="163"/>
  <c r="N539" i="163"/>
  <c r="N537" i="163"/>
  <c r="N533" i="163"/>
  <c r="N530" i="163"/>
  <c r="N528" i="163"/>
  <c r="N526" i="163"/>
  <c r="N524" i="163"/>
  <c r="N522" i="163"/>
  <c r="N519" i="163"/>
  <c r="N516" i="163"/>
  <c r="N514" i="163"/>
  <c r="N512" i="163"/>
  <c r="N510" i="163"/>
  <c r="N507" i="163"/>
  <c r="N504" i="163"/>
  <c r="N502" i="163"/>
  <c r="N500" i="163"/>
  <c r="N498" i="163"/>
  <c r="N496" i="163"/>
  <c r="N494" i="163"/>
  <c r="N492" i="163"/>
  <c r="N490" i="163"/>
  <c r="N488" i="163"/>
  <c r="N486" i="163"/>
  <c r="N484" i="163"/>
  <c r="N482" i="163"/>
  <c r="N480" i="163"/>
  <c r="N478" i="163"/>
  <c r="N476" i="163"/>
  <c r="N474" i="163"/>
  <c r="N472" i="163"/>
  <c r="N470" i="163"/>
  <c r="N468" i="163"/>
  <c r="N465" i="163"/>
  <c r="N463" i="163"/>
  <c r="N461" i="163"/>
  <c r="N459" i="163"/>
  <c r="N457" i="163"/>
  <c r="N455" i="163"/>
  <c r="N453" i="163"/>
  <c r="N451" i="163"/>
  <c r="N449" i="163"/>
  <c r="N447" i="163"/>
  <c r="N445" i="163"/>
  <c r="N442" i="163"/>
  <c r="N440" i="163"/>
  <c r="N438" i="163"/>
  <c r="N435" i="163"/>
  <c r="N433" i="163"/>
  <c r="N431" i="163"/>
  <c r="N428" i="163"/>
  <c r="N426" i="163"/>
  <c r="N423" i="163"/>
  <c r="N421" i="163"/>
  <c r="N419" i="163"/>
  <c r="N416" i="163"/>
  <c r="N414" i="163"/>
  <c r="N412" i="163"/>
  <c r="N410" i="163"/>
  <c r="N408" i="163"/>
  <c r="N406" i="163"/>
  <c r="N404" i="163"/>
  <c r="N402" i="163"/>
  <c r="N400" i="163"/>
  <c r="N398" i="163"/>
  <c r="N396" i="163"/>
  <c r="N394" i="163"/>
  <c r="N392" i="163"/>
  <c r="N390" i="163"/>
  <c r="N388" i="163"/>
  <c r="N386" i="163"/>
  <c r="N384" i="163"/>
  <c r="N381" i="163"/>
  <c r="N379" i="163"/>
  <c r="N377" i="163"/>
  <c r="N375" i="163"/>
  <c r="N373" i="163"/>
  <c r="N371" i="163"/>
  <c r="N369" i="163"/>
  <c r="N367" i="163"/>
  <c r="N364" i="163"/>
  <c r="N362" i="163"/>
  <c r="N360" i="163"/>
  <c r="N358" i="163"/>
  <c r="N356" i="163"/>
  <c r="N354" i="163"/>
  <c r="N352" i="163"/>
  <c r="N350" i="163"/>
  <c r="N348" i="163"/>
  <c r="N345" i="163"/>
  <c r="N343" i="163"/>
  <c r="N341" i="163"/>
  <c r="N339" i="163"/>
  <c r="N337" i="163"/>
  <c r="N335" i="163"/>
  <c r="N331" i="163"/>
  <c r="N329" i="163"/>
  <c r="N326" i="163"/>
  <c r="N324" i="163"/>
  <c r="N322" i="163"/>
  <c r="N319" i="163"/>
  <c r="N316" i="163"/>
  <c r="N314" i="163"/>
  <c r="N311" i="163"/>
  <c r="N309" i="163"/>
  <c r="N306" i="163"/>
  <c r="N304" i="163"/>
  <c r="N302" i="163"/>
  <c r="N300" i="163"/>
  <c r="N298" i="163"/>
  <c r="N296" i="163"/>
  <c r="N294" i="163"/>
  <c r="N292" i="163"/>
  <c r="N289" i="163"/>
  <c r="N287" i="163"/>
  <c r="N283" i="163"/>
  <c r="N281" i="163"/>
  <c r="N279" i="163"/>
  <c r="N277" i="163"/>
  <c r="N275" i="163"/>
  <c r="N273" i="163"/>
  <c r="N271" i="163"/>
  <c r="N269" i="163"/>
  <c r="N267" i="163"/>
  <c r="N265" i="163"/>
  <c r="N262" i="163"/>
  <c r="N260" i="163"/>
  <c r="N257" i="163"/>
  <c r="N254" i="163"/>
  <c r="N252" i="163"/>
  <c r="N250" i="163"/>
  <c r="N248" i="163"/>
  <c r="N246" i="163"/>
  <c r="N244" i="163"/>
  <c r="N242" i="163"/>
  <c r="N240" i="163"/>
  <c r="N238" i="163"/>
  <c r="N236" i="163"/>
  <c r="N234" i="163"/>
  <c r="N231" i="163"/>
  <c r="N229" i="163"/>
  <c r="N227" i="163"/>
  <c r="N225" i="163"/>
  <c r="N223" i="163"/>
  <c r="N221" i="163"/>
  <c r="N219" i="163"/>
  <c r="N217" i="163"/>
  <c r="N214" i="163"/>
  <c r="N212" i="163"/>
  <c r="N210" i="163"/>
  <c r="N208" i="163"/>
  <c r="N206" i="163"/>
  <c r="N204" i="163"/>
  <c r="N202" i="163"/>
  <c r="N200" i="163"/>
  <c r="N197" i="163"/>
  <c r="N195" i="163"/>
  <c r="N193" i="163"/>
  <c r="N190" i="163"/>
  <c r="N188" i="163"/>
  <c r="N185" i="163"/>
  <c r="N183" i="163"/>
  <c r="N180" i="163"/>
  <c r="N177" i="163"/>
  <c r="N174" i="163"/>
  <c r="N172" i="163"/>
  <c r="N170" i="163"/>
  <c r="N168" i="163"/>
  <c r="N165" i="163"/>
  <c r="N163" i="163"/>
  <c r="N160" i="163"/>
  <c r="N158" i="163"/>
  <c r="N156" i="163"/>
  <c r="N154" i="163"/>
  <c r="N152" i="163"/>
  <c r="N150" i="163"/>
  <c r="N148" i="163"/>
  <c r="N146" i="163"/>
  <c r="N144" i="163"/>
  <c r="N141" i="163"/>
  <c r="N138" i="163"/>
  <c r="N136" i="163"/>
  <c r="N134" i="163"/>
  <c r="N132" i="163"/>
  <c r="N129" i="163"/>
  <c r="N127" i="163"/>
  <c r="N125" i="163"/>
  <c r="N122" i="163"/>
  <c r="N120" i="163"/>
  <c r="N117" i="163"/>
  <c r="N114" i="163"/>
  <c r="N111" i="163"/>
  <c r="N109" i="163"/>
  <c r="N106" i="163"/>
  <c r="N104" i="163"/>
  <c r="N102" i="163"/>
  <c r="N100" i="163"/>
  <c r="N98" i="163"/>
  <c r="N95" i="163"/>
  <c r="N93" i="163"/>
  <c r="N91" i="163"/>
  <c r="N89" i="163"/>
  <c r="N87" i="163"/>
  <c r="N85" i="163"/>
  <c r="N82" i="163"/>
  <c r="N80" i="163"/>
  <c r="N78" i="163"/>
  <c r="N75" i="163"/>
  <c r="N73" i="163"/>
  <c r="N70" i="163"/>
  <c r="N67" i="163"/>
  <c r="N65" i="163"/>
  <c r="N63" i="163"/>
  <c r="N61" i="163"/>
  <c r="N59" i="163"/>
  <c r="N57" i="163"/>
  <c r="N55" i="163"/>
  <c r="N53" i="163"/>
  <c r="N51" i="163"/>
  <c r="N49" i="163"/>
  <c r="N47" i="163"/>
  <c r="N45" i="163"/>
  <c r="N43" i="163"/>
  <c r="N41" i="163"/>
  <c r="N39" i="163"/>
  <c r="N37" i="163"/>
  <c r="N35" i="163"/>
  <c r="N33" i="163"/>
  <c r="N31" i="163"/>
  <c r="N29" i="163"/>
  <c r="N27" i="163"/>
  <c r="N25" i="163"/>
  <c r="N23" i="163"/>
  <c r="N21" i="163"/>
  <c r="N19" i="163"/>
  <c r="N17" i="163"/>
  <c r="N15" i="163"/>
  <c r="N13" i="163"/>
  <c r="N11" i="163"/>
  <c r="N9" i="163"/>
  <c r="N7" i="163"/>
  <c r="N5" i="163"/>
  <c r="N3" i="163"/>
  <c r="AG275" i="162"/>
  <c r="AG101" i="162"/>
  <c r="AG410" i="162"/>
  <c r="AG415" i="162"/>
  <c r="AG422" i="162"/>
  <c r="AG309" i="162"/>
  <c r="AG150" i="162"/>
  <c r="AG262" i="162"/>
  <c r="AG82" i="162"/>
  <c r="AG263" i="162"/>
  <c r="AG264" i="162"/>
  <c r="AG224" i="162"/>
  <c r="AG363" i="162"/>
  <c r="AG287" i="162"/>
  <c r="AG74" i="162"/>
  <c r="AG86" i="162"/>
  <c r="AG311" i="162"/>
  <c r="AG312" i="162"/>
  <c r="AG75" i="162"/>
  <c r="AG265" i="162"/>
  <c r="AG313" i="162"/>
  <c r="AG314" i="162"/>
  <c r="AG266" i="162"/>
  <c r="AG267" i="162"/>
  <c r="AG316" i="162"/>
  <c r="AG268" i="162"/>
  <c r="AG269" i="162"/>
  <c r="AG24" i="162"/>
  <c r="AG151" i="162"/>
  <c r="AG317" i="162"/>
  <c r="AG270" i="162"/>
  <c r="AG187" i="162"/>
  <c r="AG254" i="162"/>
  <c r="AG271" i="162"/>
  <c r="AG272" i="162"/>
  <c r="AG152" i="162"/>
  <c r="AG273" i="162"/>
  <c r="AG318" i="162"/>
  <c r="AG319" i="162"/>
  <c r="AG144" i="162"/>
  <c r="AG274" i="162"/>
  <c r="AG276" i="162"/>
  <c r="AG277" i="162"/>
  <c r="AG321" i="162"/>
  <c r="AG397" i="162"/>
  <c r="AG146" i="162"/>
  <c r="AG300" i="162"/>
  <c r="AG90" i="162"/>
  <c r="AG370" i="162"/>
  <c r="AG323" i="162"/>
  <c r="AG278" i="162"/>
  <c r="AG279" i="162"/>
  <c r="AG280" i="162"/>
  <c r="AG324" i="162"/>
  <c r="AG91" i="162"/>
  <c r="AG147" i="162"/>
  <c r="AG281" i="162"/>
  <c r="AG176" i="162"/>
  <c r="AG92" i="162"/>
  <c r="AG325" i="162"/>
  <c r="AG234" i="162"/>
  <c r="AG282" i="162"/>
  <c r="AG218" i="162"/>
  <c r="G17" i="166"/>
  <c r="G18" i="166"/>
  <c r="G19" i="166"/>
  <c r="G20" i="166"/>
  <c r="G21" i="166"/>
  <c r="G22" i="166"/>
  <c r="G23" i="166"/>
  <c r="G24" i="166"/>
  <c r="G25" i="166"/>
  <c r="G26" i="166"/>
  <c r="G27" i="166"/>
  <c r="G28" i="166"/>
  <c r="G29" i="166"/>
  <c r="G30" i="166"/>
  <c r="G31" i="166"/>
  <c r="G32" i="166"/>
  <c r="G33" i="166"/>
  <c r="G34" i="166"/>
  <c r="G35" i="166"/>
  <c r="G36" i="166"/>
  <c r="G37" i="166"/>
  <c r="G38" i="166"/>
  <c r="G39" i="166"/>
  <c r="G40" i="166"/>
  <c r="G41" i="166"/>
  <c r="G42" i="166"/>
  <c r="G43" i="166"/>
  <c r="G44" i="166"/>
  <c r="G45" i="166"/>
  <c r="G46" i="166"/>
  <c r="G47" i="166"/>
  <c r="G48" i="166"/>
  <c r="G49" i="166"/>
  <c r="G50" i="166"/>
  <c r="G51" i="166"/>
  <c r="G52" i="166"/>
  <c r="G53" i="166"/>
  <c r="G54" i="166"/>
  <c r="G55" i="166"/>
  <c r="G56" i="166"/>
  <c r="G57" i="166"/>
  <c r="G58" i="166"/>
  <c r="G59" i="166"/>
  <c r="G60" i="166"/>
  <c r="G61" i="166"/>
  <c r="G62" i="166"/>
  <c r="G63" i="166"/>
  <c r="G64" i="166"/>
  <c r="G65" i="166"/>
  <c r="G66" i="166"/>
  <c r="G67" i="166"/>
  <c r="G68" i="166"/>
  <c r="G69" i="166"/>
  <c r="G70" i="166"/>
  <c r="G71" i="166"/>
  <c r="G72" i="166"/>
  <c r="G73" i="166"/>
  <c r="G74" i="166"/>
  <c r="G75" i="166"/>
  <c r="G76" i="166"/>
  <c r="G77" i="166"/>
  <c r="G78" i="166"/>
  <c r="G79" i="166"/>
  <c r="G80" i="166"/>
  <c r="G81" i="166"/>
  <c r="G82" i="166"/>
  <c r="G83" i="166"/>
  <c r="G84" i="166"/>
  <c r="G85" i="166"/>
  <c r="G86" i="166"/>
  <c r="G87" i="166"/>
  <c r="G88" i="166"/>
  <c r="G89" i="166"/>
  <c r="G90" i="166"/>
  <c r="G91" i="166"/>
  <c r="G92" i="166"/>
  <c r="G93" i="166"/>
  <c r="G94" i="166"/>
  <c r="G95" i="166"/>
  <c r="G96" i="166"/>
  <c r="G97" i="166"/>
  <c r="G98" i="166"/>
  <c r="G99" i="166"/>
  <c r="G100" i="166"/>
  <c r="G101" i="166"/>
  <c r="G102" i="166"/>
  <c r="G103" i="166"/>
  <c r="G104" i="166"/>
  <c r="G105" i="166"/>
  <c r="G106" i="166"/>
  <c r="G107" i="166"/>
  <c r="G108" i="166"/>
  <c r="G109" i="166"/>
  <c r="G110" i="166"/>
  <c r="G111" i="166"/>
  <c r="G112" i="166"/>
  <c r="G113" i="166"/>
  <c r="G114" i="166"/>
  <c r="G115" i="166"/>
  <c r="G116" i="166"/>
  <c r="G117" i="166"/>
  <c r="G118" i="166"/>
  <c r="G119" i="166"/>
  <c r="G120" i="166"/>
  <c r="G121" i="166"/>
  <c r="G122" i="166"/>
  <c r="G123" i="166"/>
  <c r="G124" i="166"/>
  <c r="G125" i="166"/>
  <c r="G126" i="166"/>
  <c r="G127" i="166"/>
  <c r="G128" i="166"/>
  <c r="G129" i="166"/>
  <c r="G130" i="166"/>
  <c r="G131" i="166"/>
  <c r="G132" i="166"/>
  <c r="G133" i="166"/>
  <c r="G134" i="166"/>
  <c r="G135" i="166"/>
  <c r="G136" i="166"/>
  <c r="G137" i="166"/>
  <c r="G138" i="166"/>
  <c r="G139" i="166"/>
  <c r="G140" i="166"/>
  <c r="G141" i="166"/>
  <c r="G142" i="166"/>
  <c r="G143" i="166"/>
  <c r="G144" i="166"/>
  <c r="G145" i="166"/>
  <c r="G146" i="166"/>
  <c r="G147" i="166"/>
  <c r="G148" i="166"/>
  <c r="G149" i="166"/>
  <c r="G150" i="166"/>
  <c r="G151" i="166"/>
  <c r="G152" i="166"/>
  <c r="G153" i="166"/>
  <c r="G154" i="166"/>
  <c r="G155" i="166"/>
  <c r="G156" i="166"/>
  <c r="G157" i="166"/>
  <c r="G158" i="166"/>
  <c r="G159" i="166"/>
  <c r="G160" i="166"/>
  <c r="G161" i="166"/>
  <c r="G162" i="166"/>
  <c r="G163" i="166"/>
  <c r="G164" i="166"/>
  <c r="G165" i="166"/>
  <c r="G166" i="166"/>
  <c r="G167" i="166"/>
  <c r="G168" i="166"/>
  <c r="G169" i="166"/>
  <c r="G170" i="166"/>
  <c r="G171" i="166"/>
  <c r="G172" i="166"/>
  <c r="G173" i="166"/>
  <c r="G174" i="166"/>
  <c r="G175" i="166"/>
  <c r="G176" i="166"/>
  <c r="G177" i="166"/>
  <c r="G178" i="166"/>
  <c r="G179" i="166"/>
  <c r="G180" i="166"/>
  <c r="G181" i="166"/>
  <c r="G182" i="166"/>
  <c r="G183" i="166"/>
  <c r="G184" i="166"/>
  <c r="G185" i="166"/>
  <c r="G186" i="166"/>
  <c r="G187" i="166"/>
  <c r="G188" i="166"/>
  <c r="G189" i="166"/>
  <c r="G190" i="166"/>
  <c r="G191" i="166"/>
  <c r="G192" i="166"/>
  <c r="G193" i="166"/>
  <c r="G194" i="166"/>
  <c r="G195" i="166"/>
  <c r="G196" i="166"/>
  <c r="G197" i="166"/>
  <c r="G198" i="166"/>
  <c r="G199" i="166"/>
  <c r="G200" i="166"/>
  <c r="G201" i="166"/>
  <c r="G202" i="166"/>
  <c r="G203" i="166"/>
  <c r="G204" i="166"/>
  <c r="G205" i="166"/>
  <c r="G206" i="166"/>
  <c r="G207" i="166"/>
  <c r="G208" i="166"/>
  <c r="G209" i="166"/>
  <c r="G210" i="166"/>
  <c r="G211" i="166"/>
  <c r="G212" i="166"/>
  <c r="G213" i="166"/>
  <c r="G214" i="166"/>
  <c r="G215" i="166"/>
  <c r="G216" i="166"/>
  <c r="G217" i="166"/>
  <c r="G218" i="166"/>
  <c r="G219" i="166"/>
  <c r="G220" i="166"/>
  <c r="G221" i="166"/>
  <c r="G222" i="166"/>
  <c r="G223" i="166"/>
  <c r="G224" i="166"/>
  <c r="G225" i="166"/>
  <c r="G226" i="166"/>
  <c r="G227" i="166"/>
  <c r="G228" i="166"/>
  <c r="G229" i="166"/>
  <c r="G230" i="166"/>
  <c r="G231" i="166"/>
  <c r="G232" i="166"/>
  <c r="G233" i="166"/>
  <c r="G234" i="166"/>
  <c r="G235" i="166"/>
  <c r="G236" i="166"/>
  <c r="G237" i="166"/>
  <c r="G238" i="166"/>
  <c r="G239" i="166"/>
  <c r="G240" i="166"/>
  <c r="G241" i="166"/>
  <c r="G242" i="166"/>
  <c r="G243" i="166"/>
  <c r="G244" i="166"/>
  <c r="G245" i="166"/>
  <c r="G246" i="166"/>
  <c r="G247" i="166"/>
  <c r="G248" i="166"/>
  <c r="G249" i="166"/>
  <c r="G250" i="166"/>
  <c r="G251" i="166"/>
  <c r="G252" i="166"/>
  <c r="G253" i="166"/>
  <c r="G254" i="166"/>
  <c r="G255" i="166"/>
  <c r="G256" i="166"/>
  <c r="G257" i="166"/>
  <c r="G258" i="166"/>
  <c r="G259" i="166"/>
  <c r="G260" i="166"/>
  <c r="G261" i="166"/>
  <c r="G262" i="166"/>
  <c r="G263" i="166"/>
  <c r="G264" i="166"/>
  <c r="G265" i="166"/>
  <c r="G266" i="166"/>
  <c r="G267" i="166"/>
  <c r="G268" i="166"/>
  <c r="G269" i="166"/>
  <c r="G270" i="166"/>
  <c r="G271" i="166"/>
  <c r="G272" i="166"/>
  <c r="G273" i="166"/>
  <c r="G274" i="166"/>
  <c r="G275" i="166"/>
  <c r="G276" i="166"/>
  <c r="G277" i="166"/>
  <c r="G278" i="166"/>
  <c r="G279" i="166"/>
  <c r="G280" i="166"/>
  <c r="G281" i="166"/>
  <c r="G282" i="166"/>
  <c r="G283" i="166"/>
  <c r="G284" i="166"/>
  <c r="G285" i="166"/>
  <c r="G286" i="166"/>
  <c r="G287" i="166"/>
  <c r="G288" i="166"/>
  <c r="G289" i="166"/>
  <c r="G290" i="166"/>
  <c r="G291" i="166"/>
  <c r="G292" i="166"/>
  <c r="G293" i="166"/>
  <c r="G294" i="166"/>
  <c r="G295" i="166"/>
  <c r="G296" i="166"/>
  <c r="G297" i="166"/>
  <c r="G298" i="166"/>
  <c r="G299" i="166"/>
  <c r="G300" i="166"/>
  <c r="G301" i="166"/>
  <c r="G302" i="166"/>
  <c r="G303" i="166"/>
  <c r="G304" i="166"/>
  <c r="G305" i="166"/>
  <c r="G306" i="166"/>
  <c r="G307" i="166"/>
  <c r="G308" i="166"/>
  <c r="G309" i="166"/>
  <c r="G310" i="166"/>
  <c r="G311" i="166"/>
  <c r="G312" i="166"/>
  <c r="G313" i="166"/>
  <c r="G314" i="166"/>
  <c r="G315" i="166"/>
  <c r="G316" i="166"/>
  <c r="G317" i="166"/>
  <c r="G318" i="166"/>
  <c r="G319" i="166"/>
  <c r="G320" i="166"/>
  <c r="G321" i="166"/>
  <c r="G322" i="166"/>
  <c r="G323" i="166"/>
  <c r="G324" i="166"/>
  <c r="G325" i="166"/>
  <c r="G326" i="166"/>
  <c r="G327" i="166"/>
  <c r="G328" i="166"/>
  <c r="G329" i="166"/>
  <c r="G4" i="166"/>
  <c r="G5" i="166"/>
  <c r="G6" i="166"/>
  <c r="G7" i="166"/>
  <c r="G8" i="166"/>
  <c r="G9" i="166"/>
  <c r="G10" i="166"/>
  <c r="G11" i="166"/>
  <c r="G12" i="166"/>
  <c r="G13" i="166"/>
  <c r="G14" i="166"/>
  <c r="G15" i="166"/>
  <c r="G16" i="166"/>
  <c r="G3" i="166"/>
  <c r="AG4" i="162"/>
  <c r="AG6" i="162"/>
  <c r="AG8" i="162"/>
  <c r="AG9" i="162"/>
  <c r="AG12" i="162"/>
  <c r="AG13" i="162"/>
  <c r="AG14" i="162"/>
  <c r="AG15" i="162"/>
  <c r="AG16" i="162"/>
  <c r="AG17" i="162"/>
  <c r="AG18" i="162"/>
  <c r="AG25" i="162"/>
  <c r="AG27" i="162"/>
  <c r="AG29" i="162"/>
  <c r="AG31" i="162"/>
  <c r="AG32" i="162"/>
  <c r="AG33" i="162"/>
  <c r="AG36" i="162"/>
  <c r="AG39" i="162"/>
  <c r="AG41" i="162"/>
  <c r="AG46" i="162"/>
  <c r="AG48" i="162"/>
  <c r="AG50" i="162"/>
  <c r="AG51" i="162"/>
  <c r="AG52" i="162"/>
  <c r="AG56" i="162"/>
  <c r="AG57" i="162"/>
  <c r="AG58" i="162"/>
  <c r="AG59" i="162"/>
  <c r="AG60" i="162"/>
  <c r="AG65" i="162"/>
  <c r="AG66" i="162"/>
  <c r="AG67" i="162"/>
  <c r="AG69" i="162"/>
  <c r="AG123" i="162"/>
  <c r="AG70" i="162"/>
  <c r="AG71" i="162"/>
  <c r="AG72" i="162"/>
  <c r="AG73" i="162"/>
  <c r="AG109" i="162"/>
  <c r="AG124" i="162"/>
  <c r="AG125" i="162"/>
  <c r="AG76" i="162"/>
  <c r="AG110" i="162"/>
  <c r="AG77" i="162"/>
  <c r="AG78" i="162"/>
  <c r="AG79" i="162"/>
  <c r="AG83" i="162"/>
  <c r="AG84" i="162"/>
  <c r="AG85" i="162"/>
  <c r="AG87" i="162"/>
  <c r="AG88" i="162"/>
  <c r="AG103" i="162"/>
  <c r="AG89" i="162"/>
  <c r="AG97" i="162"/>
  <c r="AG98" i="162"/>
  <c r="AG158" i="162"/>
  <c r="AG159" i="162"/>
  <c r="AG104" i="162"/>
  <c r="AG112" i="162"/>
  <c r="AG113" i="162"/>
  <c r="AG114" i="162"/>
  <c r="AG115" i="162"/>
  <c r="AG111" i="162"/>
  <c r="AG117" i="162"/>
  <c r="AG119" i="162"/>
  <c r="AG120" i="162"/>
  <c r="AG121" i="162"/>
  <c r="AG127" i="162"/>
  <c r="AG128" i="162"/>
  <c r="AG130" i="162"/>
  <c r="AG131" i="162"/>
  <c r="AG94" i="162"/>
  <c r="AG140" i="162"/>
  <c r="AG141" i="162"/>
  <c r="AG142" i="162"/>
  <c r="AG143" i="162"/>
  <c r="AG210" i="162"/>
  <c r="AG223" i="162"/>
  <c r="AG153" i="162"/>
  <c r="AG160" i="162"/>
  <c r="AG165" i="162"/>
  <c r="AG166" i="162"/>
  <c r="AG167" i="162"/>
  <c r="AG170" i="162"/>
  <c r="AG171" i="162"/>
  <c r="AG172" i="162"/>
  <c r="AG173" i="162"/>
  <c r="AG174" i="162"/>
  <c r="AG175" i="162"/>
  <c r="AG178" i="162"/>
  <c r="AG179" i="162"/>
  <c r="AG180" i="162"/>
  <c r="AG181" i="162"/>
  <c r="AG182" i="162"/>
  <c r="AG183" i="162"/>
  <c r="AG184" i="162"/>
  <c r="AG185" i="162"/>
  <c r="AG186" i="162"/>
  <c r="AG188" i="162"/>
  <c r="AG189" i="162"/>
  <c r="AG190" i="162"/>
  <c r="AG191" i="162"/>
  <c r="AG476" i="162"/>
  <c r="AG192" i="162"/>
  <c r="AG194" i="162"/>
  <c r="AG196" i="162"/>
  <c r="AG197" i="162"/>
  <c r="AG198" i="162"/>
  <c r="AG199" i="162"/>
  <c r="AG200" i="162"/>
  <c r="AG201" i="162"/>
  <c r="AG202" i="162"/>
  <c r="AG204" i="162"/>
  <c r="AG205" i="162"/>
  <c r="AG132" i="162"/>
  <c r="AG206" i="162"/>
  <c r="AG211" i="162"/>
  <c r="AG212" i="162"/>
  <c r="AG213" i="162"/>
  <c r="AG214" i="162"/>
  <c r="AG215" i="162"/>
  <c r="AG217" i="162"/>
  <c r="AG225" i="162"/>
  <c r="AG226" i="162"/>
  <c r="AG227" i="162"/>
  <c r="AG228" i="162"/>
  <c r="AG229" i="162"/>
  <c r="AG230" i="162"/>
  <c r="AG231" i="162"/>
  <c r="AG232" i="162"/>
  <c r="AG233" i="162"/>
  <c r="AG235" i="162"/>
  <c r="AG236" i="162"/>
  <c r="AG237" i="162"/>
  <c r="AG241" i="162"/>
  <c r="AG244" i="162"/>
  <c r="AG245" i="162"/>
  <c r="AG246" i="162"/>
  <c r="AG247" i="162"/>
  <c r="AG248" i="162"/>
  <c r="AG249" i="162"/>
  <c r="AG250" i="162"/>
  <c r="AG251" i="162"/>
  <c r="AG252" i="162"/>
  <c r="AG253" i="162"/>
  <c r="AG255" i="162"/>
  <c r="AG256" i="162"/>
  <c r="AG257" i="162"/>
  <c r="AG258" i="162"/>
  <c r="AG285" i="162"/>
  <c r="AG291" i="162"/>
  <c r="AG293" i="162"/>
  <c r="AG294" i="162"/>
  <c r="AG295" i="162"/>
  <c r="AG296" i="162"/>
  <c r="AG297" i="162"/>
  <c r="AG298" i="162"/>
  <c r="AG299" i="162"/>
  <c r="AG301" i="162"/>
  <c r="AG303" i="162"/>
  <c r="AG304" i="162"/>
  <c r="AG306" i="162"/>
  <c r="AG310" i="162"/>
  <c r="AG328" i="162"/>
  <c r="AG329" i="162"/>
  <c r="AG331" i="162"/>
  <c r="AG332" i="162"/>
  <c r="AG333" i="162"/>
  <c r="AG335" i="162"/>
  <c r="AG339" i="162"/>
  <c r="AG340" i="162"/>
  <c r="AG341" i="162"/>
  <c r="AG344" i="162"/>
  <c r="AG346" i="162"/>
  <c r="AG348" i="162"/>
  <c r="AG352" i="162"/>
  <c r="AG353" i="162"/>
  <c r="AG359" i="162"/>
  <c r="AG361" i="162"/>
  <c r="AG362" i="162"/>
  <c r="AG364" i="162"/>
  <c r="AG365" i="162"/>
  <c r="AG366" i="162"/>
  <c r="AG367" i="162"/>
  <c r="AG368" i="162"/>
  <c r="AG369" i="162"/>
  <c r="AG371" i="162"/>
  <c r="AG372" i="162"/>
  <c r="AG381" i="162"/>
  <c r="AG382" i="162"/>
  <c r="AG383" i="162"/>
  <c r="AG384" i="162"/>
  <c r="AG376" i="162"/>
  <c r="AG386" i="162"/>
  <c r="AG387" i="162"/>
  <c r="AG391" i="162"/>
  <c r="AG392" i="162"/>
  <c r="AG393" i="162"/>
  <c r="AG395" i="162"/>
  <c r="AG396" i="162"/>
  <c r="AG400" i="162"/>
  <c r="AG401" i="162"/>
  <c r="AG402" i="162"/>
  <c r="AG403" i="162"/>
  <c r="AG404" i="162"/>
  <c r="AG405" i="162"/>
  <c r="AG406" i="162"/>
  <c r="AG407" i="162"/>
  <c r="AG408" i="162"/>
  <c r="AG409" i="162"/>
  <c r="AG411" i="162"/>
  <c r="AG412" i="162"/>
  <c r="AG413" i="162"/>
  <c r="AG414" i="162"/>
  <c r="AG416" i="162"/>
  <c r="AG417" i="162"/>
  <c r="AG418" i="162"/>
  <c r="AG419" i="162"/>
  <c r="AG420" i="162"/>
  <c r="AG421" i="162"/>
  <c r="AG423" i="162"/>
  <c r="AG424" i="162"/>
  <c r="AG425" i="162"/>
  <c r="AG426" i="162"/>
  <c r="AG427" i="162"/>
  <c r="AG428" i="162"/>
  <c r="AG429" i="162"/>
  <c r="AG430" i="162"/>
  <c r="AG431" i="162"/>
  <c r="AG433" i="162"/>
  <c r="AG434" i="162"/>
  <c r="AG435" i="162"/>
  <c r="AG436" i="162"/>
  <c r="AG437" i="162"/>
  <c r="AG438" i="162"/>
  <c r="AG439" i="162"/>
  <c r="AG440" i="162"/>
  <c r="AG441" i="162"/>
  <c r="AG442" i="162"/>
  <c r="AG443" i="162"/>
  <c r="AG445" i="162"/>
  <c r="AG446" i="162"/>
  <c r="AG448" i="162"/>
  <c r="AG449" i="162"/>
  <c r="AG450" i="162"/>
  <c r="AG451" i="162"/>
  <c r="AG452" i="162"/>
  <c r="AG453" i="162"/>
  <c r="AG454" i="162"/>
  <c r="AG455" i="162"/>
  <c r="AG456" i="162"/>
  <c r="AG457" i="162"/>
  <c r="AG458" i="162"/>
  <c r="AG459" i="162"/>
  <c r="AG460" i="162"/>
  <c r="AG461" i="162"/>
  <c r="AG463" i="162"/>
  <c r="AG465" i="162"/>
  <c r="AG466" i="162"/>
  <c r="AG467" i="162"/>
  <c r="AG474" i="162"/>
  <c r="AG2" i="162"/>
  <c r="O4" i="162"/>
  <c r="O5" i="162" s="1"/>
  <c r="O6" i="162"/>
  <c r="O7" i="162" s="1"/>
  <c r="O8" i="162"/>
  <c r="O9" i="162"/>
  <c r="AL9" i="162" s="1"/>
  <c r="AN9" i="162" s="1"/>
  <c r="O12" i="162"/>
  <c r="O13" i="162"/>
  <c r="AL13" i="162" s="1"/>
  <c r="AN13" i="162" s="1"/>
  <c r="O14" i="162"/>
  <c r="AL14" i="162" s="1"/>
  <c r="AN14" i="162" s="1"/>
  <c r="O15" i="162"/>
  <c r="AL15" i="162" s="1"/>
  <c r="AN15" i="162" s="1"/>
  <c r="O16" i="162"/>
  <c r="AL16" i="162" s="1"/>
  <c r="AN16" i="162" s="1"/>
  <c r="O17" i="162"/>
  <c r="AL17" i="162" s="1"/>
  <c r="AN17" i="162" s="1"/>
  <c r="O18" i="162"/>
  <c r="AL18" i="162" s="1"/>
  <c r="AN18" i="162" s="1"/>
  <c r="O25" i="162"/>
  <c r="O26" i="162" s="1"/>
  <c r="O27" i="162"/>
  <c r="O28" i="162" s="1"/>
  <c r="O29" i="162"/>
  <c r="O30" i="162" s="1"/>
  <c r="O31" i="162"/>
  <c r="O32" i="162"/>
  <c r="AL32" i="162" s="1"/>
  <c r="AN32" i="162" s="1"/>
  <c r="O33" i="162"/>
  <c r="AL33" i="162" s="1"/>
  <c r="AN33" i="162" s="1"/>
  <c r="O36" i="162"/>
  <c r="O38" i="162" s="1"/>
  <c r="O39" i="162"/>
  <c r="O40" i="162" s="1"/>
  <c r="O41" i="162"/>
  <c r="O43" i="162" s="1"/>
  <c r="O46" i="162"/>
  <c r="O47" i="162" s="1"/>
  <c r="O48" i="162"/>
  <c r="O49" i="162" s="1"/>
  <c r="O50" i="162"/>
  <c r="O51" i="162"/>
  <c r="AL51" i="162" s="1"/>
  <c r="AN51" i="162" s="1"/>
  <c r="O52" i="162"/>
  <c r="AL52" i="162" s="1"/>
  <c r="AN52" i="162" s="1"/>
  <c r="O56" i="162"/>
  <c r="O57" i="162"/>
  <c r="AL57" i="162" s="1"/>
  <c r="AN57" i="162" s="1"/>
  <c r="O58" i="162"/>
  <c r="AL58" i="162" s="1"/>
  <c r="AN58" i="162" s="1"/>
  <c r="O59" i="162"/>
  <c r="AL59" i="162" s="1"/>
  <c r="AN59" i="162" s="1"/>
  <c r="O60" i="162"/>
  <c r="AL60" i="162" s="1"/>
  <c r="AN60" i="162" s="1"/>
  <c r="O65" i="162"/>
  <c r="O66" i="162"/>
  <c r="AL66" i="162" s="1"/>
  <c r="AN66" i="162" s="1"/>
  <c r="O67" i="162"/>
  <c r="AL67" i="162" s="1"/>
  <c r="AN67" i="162" s="1"/>
  <c r="O69" i="162"/>
  <c r="O123" i="162"/>
  <c r="O70" i="162"/>
  <c r="AL70" i="162" s="1"/>
  <c r="AN70" i="162" s="1"/>
  <c r="O71" i="162"/>
  <c r="AL71" i="162" s="1"/>
  <c r="AN71" i="162" s="1"/>
  <c r="O72" i="162"/>
  <c r="AL72" i="162" s="1"/>
  <c r="AN72" i="162" s="1"/>
  <c r="O73" i="162"/>
  <c r="AL73" i="162" s="1"/>
  <c r="AN73" i="162" s="1"/>
  <c r="O109" i="162"/>
  <c r="O124" i="162"/>
  <c r="AL124" i="162" s="1"/>
  <c r="AN124" i="162" s="1"/>
  <c r="O125" i="162"/>
  <c r="O76" i="162"/>
  <c r="AL76" i="162" s="1"/>
  <c r="AN76" i="162" s="1"/>
  <c r="O110" i="162"/>
  <c r="AN110" i="162" s="1"/>
  <c r="O77" i="162"/>
  <c r="AL77" i="162" s="1"/>
  <c r="AN77" i="162" s="1"/>
  <c r="O78" i="162"/>
  <c r="AL78" i="162" s="1"/>
  <c r="AN78" i="162" s="1"/>
  <c r="O79" i="162"/>
  <c r="AL79" i="162" s="1"/>
  <c r="AN79" i="162" s="1"/>
  <c r="O83" i="162"/>
  <c r="O84" i="162"/>
  <c r="AL84" i="162" s="1"/>
  <c r="AN84" i="162" s="1"/>
  <c r="O85" i="162"/>
  <c r="AL85" i="162" s="1"/>
  <c r="AN85" i="162" s="1"/>
  <c r="O87" i="162"/>
  <c r="AL87" i="162" s="1"/>
  <c r="AN87" i="162" s="1"/>
  <c r="O88" i="162"/>
  <c r="AL88" i="162" s="1"/>
  <c r="AN88" i="162" s="1"/>
  <c r="O103" i="162"/>
  <c r="O89" i="162"/>
  <c r="AL89" i="162" s="1"/>
  <c r="AN89" i="162" s="1"/>
  <c r="O97" i="162"/>
  <c r="O98" i="162"/>
  <c r="AL98" i="162" s="1"/>
  <c r="AN98" i="162" s="1"/>
  <c r="O158" i="162"/>
  <c r="O159" i="162"/>
  <c r="AL159" i="162" s="1"/>
  <c r="AN159" i="162" s="1"/>
  <c r="O104" i="162"/>
  <c r="AL104" i="162" s="1"/>
  <c r="AN104" i="162" s="1"/>
  <c r="O112" i="162"/>
  <c r="O113" i="162"/>
  <c r="AL113" i="162" s="1"/>
  <c r="AN113" i="162" s="1"/>
  <c r="O114" i="162"/>
  <c r="AL114" i="162" s="1"/>
  <c r="AN114" i="162" s="1"/>
  <c r="O115" i="162"/>
  <c r="AL115" i="162" s="1"/>
  <c r="AN115" i="162" s="1"/>
  <c r="O111" i="162"/>
  <c r="AL111" i="162" s="1"/>
  <c r="AN111" i="162" s="1"/>
  <c r="O116" i="162"/>
  <c r="AL116" i="162" s="1"/>
  <c r="AN116" i="162" s="1"/>
  <c r="O117" i="162"/>
  <c r="AL117" i="162" s="1"/>
  <c r="AN117" i="162" s="1"/>
  <c r="O118" i="162"/>
  <c r="AN118" i="162" s="1"/>
  <c r="O119" i="162"/>
  <c r="AL119" i="162" s="1"/>
  <c r="AN119" i="162" s="1"/>
  <c r="O120" i="162"/>
  <c r="AL120" i="162" s="1"/>
  <c r="AN120" i="162" s="1"/>
  <c r="O121" i="162"/>
  <c r="AL121" i="162" s="1"/>
  <c r="AN121" i="162" s="1"/>
  <c r="O126" i="162"/>
  <c r="AL126" i="162" s="1"/>
  <c r="AN126" i="162" s="1"/>
  <c r="O127" i="162"/>
  <c r="AL127" i="162" s="1"/>
  <c r="AN127" i="162" s="1"/>
  <c r="O128" i="162"/>
  <c r="AL128" i="162" s="1"/>
  <c r="AN128" i="162" s="1"/>
  <c r="O129" i="162"/>
  <c r="AL129" i="162" s="1"/>
  <c r="AN129" i="162" s="1"/>
  <c r="O130" i="162"/>
  <c r="AL130" i="162" s="1"/>
  <c r="AN130" i="162" s="1"/>
  <c r="O131" i="162"/>
  <c r="AL131" i="162" s="1"/>
  <c r="AN131" i="162" s="1"/>
  <c r="O94" i="162"/>
  <c r="AL94" i="162" s="1"/>
  <c r="AN94" i="162" s="1"/>
  <c r="O140" i="162"/>
  <c r="O141" i="162"/>
  <c r="AN141" i="162" s="1"/>
  <c r="O142" i="162"/>
  <c r="AN142" i="162" s="1"/>
  <c r="O143" i="162"/>
  <c r="AL143" i="162" s="1"/>
  <c r="AL145" i="162" s="1"/>
  <c r="O209" i="162"/>
  <c r="O210" i="162"/>
  <c r="AL210" i="162" s="1"/>
  <c r="AN210" i="162" s="1"/>
  <c r="O223" i="162"/>
  <c r="O153" i="162"/>
  <c r="O155" i="162" s="1"/>
  <c r="O160" i="162"/>
  <c r="O161" i="162"/>
  <c r="AL161" i="162" s="1"/>
  <c r="AN161" i="162" s="1"/>
  <c r="O162" i="162"/>
  <c r="AL162" i="162" s="1"/>
  <c r="AN162" i="162" s="1"/>
  <c r="O164" i="162"/>
  <c r="O165" i="162"/>
  <c r="AL165" i="162" s="1"/>
  <c r="O166" i="162"/>
  <c r="AL166" i="162" s="1"/>
  <c r="AN166" i="162" s="1"/>
  <c r="O167" i="162"/>
  <c r="AL167" i="162" s="1"/>
  <c r="AN167" i="162" s="1"/>
  <c r="O170" i="162"/>
  <c r="O171" i="162"/>
  <c r="AL171" i="162" s="1"/>
  <c r="AN171" i="162" s="1"/>
  <c r="O172" i="162"/>
  <c r="AL172" i="162" s="1"/>
  <c r="AN172" i="162" s="1"/>
  <c r="O173" i="162"/>
  <c r="AL173" i="162" s="1"/>
  <c r="AN173" i="162" s="1"/>
  <c r="O174" i="162"/>
  <c r="AL174" i="162" s="1"/>
  <c r="AN174" i="162" s="1"/>
  <c r="O175" i="162"/>
  <c r="AL175" i="162" s="1"/>
  <c r="AN175" i="162" s="1"/>
  <c r="O178" i="162"/>
  <c r="O179" i="162"/>
  <c r="AL179" i="162" s="1"/>
  <c r="AN179" i="162" s="1"/>
  <c r="O180" i="162"/>
  <c r="AL180" i="162" s="1"/>
  <c r="AN180" i="162" s="1"/>
  <c r="O181" i="162"/>
  <c r="AL181" i="162" s="1"/>
  <c r="AN181" i="162" s="1"/>
  <c r="O182" i="162"/>
  <c r="AL182" i="162" s="1"/>
  <c r="AN182" i="162" s="1"/>
  <c r="O183" i="162"/>
  <c r="AL183" i="162" s="1"/>
  <c r="AN183" i="162" s="1"/>
  <c r="O184" i="162"/>
  <c r="AL184" i="162" s="1"/>
  <c r="AN184" i="162" s="1"/>
  <c r="O185" i="162"/>
  <c r="AL185" i="162" s="1"/>
  <c r="AN185" i="162" s="1"/>
  <c r="O186" i="162"/>
  <c r="AL186" i="162" s="1"/>
  <c r="AN186" i="162" s="1"/>
  <c r="O188" i="162"/>
  <c r="AL188" i="162" s="1"/>
  <c r="AN188" i="162" s="1"/>
  <c r="O189" i="162"/>
  <c r="AL189" i="162" s="1"/>
  <c r="AN189" i="162" s="1"/>
  <c r="O190" i="162"/>
  <c r="AL190" i="162" s="1"/>
  <c r="AN190" i="162" s="1"/>
  <c r="O191" i="162"/>
  <c r="AL191" i="162" s="1"/>
  <c r="AN191" i="162" s="1"/>
  <c r="O476" i="162"/>
  <c r="AL476" i="162" s="1"/>
  <c r="AN476" i="162" s="1"/>
  <c r="O192" i="162"/>
  <c r="AL192" i="162" s="1"/>
  <c r="AN192" i="162" s="1"/>
  <c r="O194" i="162"/>
  <c r="O195" i="162" s="1"/>
  <c r="O196" i="162"/>
  <c r="O197" i="162"/>
  <c r="AL197" i="162" s="1"/>
  <c r="AN197" i="162" s="1"/>
  <c r="O198" i="162"/>
  <c r="AL198" i="162" s="1"/>
  <c r="AN198" i="162" s="1"/>
  <c r="O199" i="162"/>
  <c r="AL199" i="162" s="1"/>
  <c r="AN199" i="162" s="1"/>
  <c r="O200" i="162"/>
  <c r="AL200" i="162" s="1"/>
  <c r="AN200" i="162" s="1"/>
  <c r="O201" i="162"/>
  <c r="AL201" i="162" s="1"/>
  <c r="AN201" i="162" s="1"/>
  <c r="O202" i="162"/>
  <c r="AL202" i="162" s="1"/>
  <c r="AN202" i="162" s="1"/>
  <c r="O204" i="162"/>
  <c r="O205" i="162"/>
  <c r="AL205" i="162" s="1"/>
  <c r="AN205" i="162" s="1"/>
  <c r="O132" i="162"/>
  <c r="AL132" i="162" s="1"/>
  <c r="AN132" i="162" s="1"/>
  <c r="O206" i="162"/>
  <c r="AL206" i="162" s="1"/>
  <c r="AN206" i="162" s="1"/>
  <c r="O211" i="162"/>
  <c r="AL211" i="162" s="1"/>
  <c r="AN211" i="162" s="1"/>
  <c r="O212" i="162"/>
  <c r="AL212" i="162" s="1"/>
  <c r="AN212" i="162" s="1"/>
  <c r="O213" i="162"/>
  <c r="AL213" i="162" s="1"/>
  <c r="AN213" i="162" s="1"/>
  <c r="O214" i="162"/>
  <c r="AL214" i="162" s="1"/>
  <c r="AN214" i="162" s="1"/>
  <c r="O215" i="162"/>
  <c r="AL215" i="162" s="1"/>
  <c r="AN215" i="162" s="1"/>
  <c r="O216" i="162"/>
  <c r="AL216" i="162" s="1"/>
  <c r="AN216" i="162" s="1"/>
  <c r="O217" i="162"/>
  <c r="AL217" i="162" s="1"/>
  <c r="AN217" i="162" s="1"/>
  <c r="O219" i="162"/>
  <c r="AL219" i="162" s="1"/>
  <c r="AN219" i="162" s="1"/>
  <c r="O225" i="162"/>
  <c r="AL225" i="162" s="1"/>
  <c r="AN225" i="162" s="1"/>
  <c r="O226" i="162"/>
  <c r="AL226" i="162" s="1"/>
  <c r="AN226" i="162" s="1"/>
  <c r="O227" i="162"/>
  <c r="AL227" i="162" s="1"/>
  <c r="AN227" i="162" s="1"/>
  <c r="O228" i="162"/>
  <c r="AL228" i="162" s="1"/>
  <c r="AN228" i="162" s="1"/>
  <c r="O229" i="162"/>
  <c r="AL229" i="162" s="1"/>
  <c r="AN229" i="162" s="1"/>
  <c r="O230" i="162"/>
  <c r="AL230" i="162" s="1"/>
  <c r="AN230" i="162" s="1"/>
  <c r="O231" i="162"/>
  <c r="AL231" i="162" s="1"/>
  <c r="AN231" i="162" s="1"/>
  <c r="O232" i="162"/>
  <c r="AL232" i="162" s="1"/>
  <c r="AN232" i="162" s="1"/>
  <c r="O233" i="162"/>
  <c r="AL233" i="162" s="1"/>
  <c r="AN233" i="162" s="1"/>
  <c r="O235" i="162"/>
  <c r="AL235" i="162" s="1"/>
  <c r="AN235" i="162" s="1"/>
  <c r="O236" i="162"/>
  <c r="AL236" i="162" s="1"/>
  <c r="AN236" i="162" s="1"/>
  <c r="O237" i="162"/>
  <c r="AL237" i="162" s="1"/>
  <c r="AN237" i="162" s="1"/>
  <c r="O241" i="162"/>
  <c r="O242" i="162"/>
  <c r="AL242" i="162" s="1"/>
  <c r="AN242" i="162" s="1"/>
  <c r="O244" i="162"/>
  <c r="O245" i="162"/>
  <c r="AL245" i="162" s="1"/>
  <c r="O246" i="162"/>
  <c r="AL246" i="162" s="1"/>
  <c r="O247" i="162"/>
  <c r="AL247" i="162" s="1"/>
  <c r="O248" i="162"/>
  <c r="AL248" i="162" s="1"/>
  <c r="O249" i="162"/>
  <c r="AL249" i="162" s="1"/>
  <c r="O250" i="162"/>
  <c r="AL250" i="162" s="1"/>
  <c r="O251" i="162"/>
  <c r="AL251" i="162" s="1"/>
  <c r="O252" i="162"/>
  <c r="AL252" i="162" s="1"/>
  <c r="O253" i="162"/>
  <c r="AL253" i="162" s="1"/>
  <c r="O255" i="162"/>
  <c r="AL255" i="162" s="1"/>
  <c r="O256" i="162"/>
  <c r="AL256" i="162" s="1"/>
  <c r="O257" i="162"/>
  <c r="AL257" i="162" s="1"/>
  <c r="AN257" i="162" s="1"/>
  <c r="O258" i="162"/>
  <c r="AL258" i="162" s="1"/>
  <c r="AN258" i="162" s="1"/>
  <c r="O285" i="162"/>
  <c r="O286" i="162" s="1"/>
  <c r="O291" i="162"/>
  <c r="O292" i="162" s="1"/>
  <c r="O293" i="162"/>
  <c r="O294" i="162"/>
  <c r="AL294" i="162" s="1"/>
  <c r="AN294" i="162" s="1"/>
  <c r="O295" i="162"/>
  <c r="AL295" i="162" s="1"/>
  <c r="AN295" i="162" s="1"/>
  <c r="O296" i="162"/>
  <c r="AL296" i="162" s="1"/>
  <c r="AN296" i="162" s="1"/>
  <c r="O297" i="162"/>
  <c r="AL297" i="162" s="1"/>
  <c r="AN297" i="162" s="1"/>
  <c r="O298" i="162"/>
  <c r="AL298" i="162" s="1"/>
  <c r="AN298" i="162" s="1"/>
  <c r="O299" i="162"/>
  <c r="AL299" i="162" s="1"/>
  <c r="AN299" i="162" s="1"/>
  <c r="O301" i="162"/>
  <c r="AL301" i="162" s="1"/>
  <c r="AN301" i="162" s="1"/>
  <c r="O303" i="162"/>
  <c r="O304" i="162"/>
  <c r="AL304" i="162" s="1"/>
  <c r="AN304" i="162" s="1"/>
  <c r="O306" i="162"/>
  <c r="O308" i="162" s="1"/>
  <c r="O310" i="162"/>
  <c r="O327" i="162" s="1"/>
  <c r="O328" i="162"/>
  <c r="O329" i="162"/>
  <c r="AL329" i="162" s="1"/>
  <c r="AN329" i="162" s="1"/>
  <c r="O331" i="162"/>
  <c r="O332" i="162"/>
  <c r="AL332" i="162" s="1"/>
  <c r="AN332" i="162" s="1"/>
  <c r="O333" i="162"/>
  <c r="AL333" i="162" s="1"/>
  <c r="AN333" i="162" s="1"/>
  <c r="O335" i="162"/>
  <c r="O338" i="162" s="1"/>
  <c r="O339" i="162"/>
  <c r="O340" i="162"/>
  <c r="AL340" i="162" s="1"/>
  <c r="AN340" i="162" s="1"/>
  <c r="O341" i="162"/>
  <c r="AL341" i="162" s="1"/>
  <c r="AN341" i="162" s="1"/>
  <c r="O344" i="162"/>
  <c r="O345" i="162" s="1"/>
  <c r="O346" i="162"/>
  <c r="O348" i="162"/>
  <c r="AL348" i="162" s="1"/>
  <c r="AL351" i="162" s="1"/>
  <c r="O352" i="162"/>
  <c r="O353" i="162"/>
  <c r="AL353" i="162" s="1"/>
  <c r="AN353" i="162" s="1"/>
  <c r="O354" i="162"/>
  <c r="AN354" i="162" s="1"/>
  <c r="O359" i="162"/>
  <c r="O360" i="162" s="1"/>
  <c r="O361" i="162"/>
  <c r="O362" i="162"/>
  <c r="AL362" i="162" s="1"/>
  <c r="AN362" i="162" s="1"/>
  <c r="O364" i="162"/>
  <c r="O365" i="162"/>
  <c r="AL365" i="162" s="1"/>
  <c r="O366" i="162"/>
  <c r="AL366" i="162" s="1"/>
  <c r="AN366" i="162" s="1"/>
  <c r="O367" i="162"/>
  <c r="AN367" i="162" s="1"/>
  <c r="O368" i="162"/>
  <c r="AL368" i="162" s="1"/>
  <c r="AN368" i="162" s="1"/>
  <c r="O369" i="162"/>
  <c r="AN369" i="162" s="1"/>
  <c r="O371" i="162"/>
  <c r="AN371" i="162" s="1"/>
  <c r="O372" i="162"/>
  <c r="AN372" i="162" s="1"/>
  <c r="O381" i="162"/>
  <c r="O382" i="162"/>
  <c r="AL382" i="162" s="1"/>
  <c r="AN382" i="162" s="1"/>
  <c r="O383" i="162"/>
  <c r="AL383" i="162" s="1"/>
  <c r="AN383" i="162" s="1"/>
  <c r="O384" i="162"/>
  <c r="AL384" i="162" s="1"/>
  <c r="AN384" i="162" s="1"/>
  <c r="O376" i="162"/>
  <c r="AN376" i="162" s="1"/>
  <c r="O386" i="162"/>
  <c r="O387" i="162"/>
  <c r="AL387" i="162" s="1"/>
  <c r="AN387" i="162" s="1"/>
  <c r="O390" i="162"/>
  <c r="O391" i="162"/>
  <c r="AL391" i="162" s="1"/>
  <c r="AN391" i="162" s="1"/>
  <c r="O392" i="162"/>
  <c r="AL392" i="162" s="1"/>
  <c r="O393" i="162"/>
  <c r="AL393" i="162" s="1"/>
  <c r="AN393" i="162" s="1"/>
  <c r="O395" i="162"/>
  <c r="O396" i="162"/>
  <c r="O400" i="162"/>
  <c r="O401" i="162"/>
  <c r="AL401" i="162" s="1"/>
  <c r="AN401" i="162" s="1"/>
  <c r="O402" i="162"/>
  <c r="AL402" i="162" s="1"/>
  <c r="AN402" i="162" s="1"/>
  <c r="O403" i="162"/>
  <c r="AL403" i="162" s="1"/>
  <c r="AN403" i="162" s="1"/>
  <c r="O404" i="162"/>
  <c r="AL404" i="162" s="1"/>
  <c r="AN404" i="162" s="1"/>
  <c r="O405" i="162"/>
  <c r="AL405" i="162" s="1"/>
  <c r="AN405" i="162" s="1"/>
  <c r="O406" i="162"/>
  <c r="AL406" i="162" s="1"/>
  <c r="AN406" i="162" s="1"/>
  <c r="O407" i="162"/>
  <c r="AL407" i="162" s="1"/>
  <c r="AN407" i="162" s="1"/>
  <c r="O408" i="162"/>
  <c r="AL408" i="162" s="1"/>
  <c r="AN408" i="162" s="1"/>
  <c r="O409" i="162"/>
  <c r="AL409" i="162" s="1"/>
  <c r="AN409" i="162" s="1"/>
  <c r="O411" i="162"/>
  <c r="AL411" i="162" s="1"/>
  <c r="AN411" i="162" s="1"/>
  <c r="O412" i="162"/>
  <c r="AL412" i="162" s="1"/>
  <c r="AN412" i="162" s="1"/>
  <c r="O413" i="162"/>
  <c r="AL413" i="162" s="1"/>
  <c r="AN413" i="162" s="1"/>
  <c r="O414" i="162"/>
  <c r="AL414" i="162" s="1"/>
  <c r="AN414" i="162" s="1"/>
  <c r="O416" i="162"/>
  <c r="AL416" i="162" s="1"/>
  <c r="AN416" i="162" s="1"/>
  <c r="O417" i="162"/>
  <c r="AL417" i="162" s="1"/>
  <c r="AN417" i="162" s="1"/>
  <c r="O418" i="162"/>
  <c r="AL418" i="162" s="1"/>
  <c r="AN418" i="162" s="1"/>
  <c r="O419" i="162"/>
  <c r="AL419" i="162" s="1"/>
  <c r="AN419" i="162" s="1"/>
  <c r="O420" i="162"/>
  <c r="AL420" i="162" s="1"/>
  <c r="AN420" i="162" s="1"/>
  <c r="O421" i="162"/>
  <c r="AL421" i="162" s="1"/>
  <c r="AN421" i="162" s="1"/>
  <c r="O423" i="162"/>
  <c r="AL423" i="162" s="1"/>
  <c r="AN423" i="162" s="1"/>
  <c r="O424" i="162"/>
  <c r="AL424" i="162" s="1"/>
  <c r="AN424" i="162" s="1"/>
  <c r="O425" i="162"/>
  <c r="AL425" i="162" s="1"/>
  <c r="AN425" i="162" s="1"/>
  <c r="O426" i="162"/>
  <c r="AL426" i="162" s="1"/>
  <c r="AN426" i="162" s="1"/>
  <c r="O427" i="162"/>
  <c r="AL427" i="162" s="1"/>
  <c r="AN427" i="162" s="1"/>
  <c r="O428" i="162"/>
  <c r="AL428" i="162" s="1"/>
  <c r="AN428" i="162" s="1"/>
  <c r="O429" i="162"/>
  <c r="AL429" i="162" s="1"/>
  <c r="AN429" i="162" s="1"/>
  <c r="O430" i="162"/>
  <c r="AL430" i="162" s="1"/>
  <c r="AN430" i="162" s="1"/>
  <c r="O431" i="162"/>
  <c r="AL431" i="162" s="1"/>
  <c r="AN431" i="162" s="1"/>
  <c r="O432" i="162"/>
  <c r="AN432" i="162" s="1"/>
  <c r="O433" i="162"/>
  <c r="AL433" i="162" s="1"/>
  <c r="AN433" i="162" s="1"/>
  <c r="O434" i="162"/>
  <c r="AN434" i="162" s="1"/>
  <c r="O435" i="162"/>
  <c r="AL435" i="162" s="1"/>
  <c r="AN435" i="162" s="1"/>
  <c r="O436" i="162"/>
  <c r="AL436" i="162" s="1"/>
  <c r="AN436" i="162" s="1"/>
  <c r="O437" i="162"/>
  <c r="AL437" i="162" s="1"/>
  <c r="AN437" i="162" s="1"/>
  <c r="O438" i="162"/>
  <c r="AL438" i="162" s="1"/>
  <c r="AN438" i="162" s="1"/>
  <c r="O439" i="162"/>
  <c r="AL439" i="162" s="1"/>
  <c r="AN439" i="162" s="1"/>
  <c r="O440" i="162"/>
  <c r="AL440" i="162" s="1"/>
  <c r="AN440" i="162" s="1"/>
  <c r="O441" i="162"/>
  <c r="AN441" i="162" s="1"/>
  <c r="O442" i="162"/>
  <c r="AL442" i="162" s="1"/>
  <c r="AN442" i="162" s="1"/>
  <c r="O443" i="162"/>
  <c r="AL443" i="162" s="1"/>
  <c r="AN443" i="162" s="1"/>
  <c r="O444" i="162"/>
  <c r="AN444" i="162" s="1"/>
  <c r="O445" i="162"/>
  <c r="AL445" i="162" s="1"/>
  <c r="AN445" i="162" s="1"/>
  <c r="O446" i="162"/>
  <c r="AL446" i="162" s="1"/>
  <c r="AN446" i="162" s="1"/>
  <c r="O447" i="162"/>
  <c r="AL447" i="162" s="1"/>
  <c r="AN447" i="162" s="1"/>
  <c r="O448" i="162"/>
  <c r="AL448" i="162" s="1"/>
  <c r="AN448" i="162" s="1"/>
  <c r="O449" i="162"/>
  <c r="AL449" i="162" s="1"/>
  <c r="AN449" i="162" s="1"/>
  <c r="O450" i="162"/>
  <c r="AL450" i="162" s="1"/>
  <c r="AN450" i="162" s="1"/>
  <c r="O451" i="162"/>
  <c r="AL451" i="162" s="1"/>
  <c r="AN451" i="162" s="1"/>
  <c r="O452" i="162"/>
  <c r="AL452" i="162" s="1"/>
  <c r="AN452" i="162" s="1"/>
  <c r="O453" i="162"/>
  <c r="AN453" i="162" s="1"/>
  <c r="O454" i="162"/>
  <c r="AL454" i="162" s="1"/>
  <c r="AN454" i="162" s="1"/>
  <c r="O455" i="162"/>
  <c r="AL455" i="162" s="1"/>
  <c r="AN455" i="162" s="1"/>
  <c r="O456" i="162"/>
  <c r="AL456" i="162" s="1"/>
  <c r="AN456" i="162" s="1"/>
  <c r="O457" i="162"/>
  <c r="AL457" i="162" s="1"/>
  <c r="AN457" i="162" s="1"/>
  <c r="O458" i="162"/>
  <c r="AL458" i="162" s="1"/>
  <c r="AN458" i="162" s="1"/>
  <c r="O459" i="162"/>
  <c r="AL459" i="162" s="1"/>
  <c r="AN459" i="162" s="1"/>
  <c r="O460" i="162"/>
  <c r="AL460" i="162" s="1"/>
  <c r="AN460" i="162" s="1"/>
  <c r="O461" i="162"/>
  <c r="AL461" i="162" s="1"/>
  <c r="AN461" i="162" s="1"/>
  <c r="O462" i="162"/>
  <c r="AN462" i="162" s="1"/>
  <c r="O463" i="162"/>
  <c r="AL463" i="162" s="1"/>
  <c r="AN463" i="162" s="1"/>
  <c r="O464" i="162"/>
  <c r="AL464" i="162" s="1"/>
  <c r="AN464" i="162" s="1"/>
  <c r="O465" i="162"/>
  <c r="AL465" i="162" s="1"/>
  <c r="AN465" i="162" s="1"/>
  <c r="O466" i="162"/>
  <c r="AL466" i="162" s="1"/>
  <c r="AN466" i="162" s="1"/>
  <c r="O467" i="162"/>
  <c r="AL467" i="162" s="1"/>
  <c r="AN467" i="162" s="1"/>
  <c r="O474" i="162"/>
  <c r="O2" i="162"/>
  <c r="AD16" i="143"/>
  <c r="AD18" i="143"/>
  <c r="AD26" i="143"/>
  <c r="AD27" i="143"/>
  <c r="AD35" i="143"/>
  <c r="AD36" i="143"/>
  <c r="AD37" i="143"/>
  <c r="AD40" i="143"/>
  <c r="AD42" i="143"/>
  <c r="AD51" i="143"/>
  <c r="AD52" i="143"/>
  <c r="AD56" i="143"/>
  <c r="AD57" i="143"/>
  <c r="AD61" i="143"/>
  <c r="AD62" i="143"/>
  <c r="AD63" i="143"/>
  <c r="AD64" i="143"/>
  <c r="AD67" i="143"/>
  <c r="AD68" i="143"/>
  <c r="AD71" i="143"/>
  <c r="AD75" i="143"/>
  <c r="AD76" i="143"/>
  <c r="AD79" i="143"/>
  <c r="AD80" i="143"/>
  <c r="AD81" i="143"/>
  <c r="AD89" i="143"/>
  <c r="AD90" i="143"/>
  <c r="AD91" i="143"/>
  <c r="AD97" i="143"/>
  <c r="AD98" i="143"/>
  <c r="AD100" i="143"/>
  <c r="AD113" i="143"/>
  <c r="AD114" i="143"/>
  <c r="AD117" i="143"/>
  <c r="AD121" i="143"/>
  <c r="AD123" i="143"/>
  <c r="AD124" i="143"/>
  <c r="AD125" i="143"/>
  <c r="AD134" i="143"/>
  <c r="AD135" i="143"/>
  <c r="AD136" i="143"/>
  <c r="AD139" i="143"/>
  <c r="AD140" i="143"/>
  <c r="AD141" i="143"/>
  <c r="AD153" i="143"/>
  <c r="AD157" i="143"/>
  <c r="AD158" i="143"/>
  <c r="AD160" i="143"/>
  <c r="AD164" i="143"/>
  <c r="AD165" i="143"/>
  <c r="AD166" i="143"/>
  <c r="AD173" i="143"/>
  <c r="AD174" i="143"/>
  <c r="AD175" i="143"/>
  <c r="AD181" i="143"/>
  <c r="AD183" i="143"/>
  <c r="AD184" i="143"/>
  <c r="AD186" i="143"/>
  <c r="AD187" i="143"/>
  <c r="AD188" i="143"/>
  <c r="AD195" i="143"/>
  <c r="AD196" i="143"/>
  <c r="AD197" i="143"/>
  <c r="AD198" i="143"/>
  <c r="AD199" i="143"/>
  <c r="AD200" i="143"/>
  <c r="AD202" i="143"/>
  <c r="AD203" i="143"/>
  <c r="AD205" i="143"/>
  <c r="AD214" i="143"/>
  <c r="AD218" i="143"/>
  <c r="AD219" i="143"/>
  <c r="AD229" i="143"/>
  <c r="AD231" i="143"/>
  <c r="AD232" i="143"/>
  <c r="AD236" i="143"/>
  <c r="AD238" i="143"/>
  <c r="AD239" i="143"/>
  <c r="AD240" i="143"/>
  <c r="AD241" i="143"/>
  <c r="AD244" i="143"/>
  <c r="AD245" i="143"/>
  <c r="AD251" i="143"/>
  <c r="AD255" i="143"/>
  <c r="AD256" i="143"/>
  <c r="AD257" i="143"/>
  <c r="AD261" i="143"/>
  <c r="AD262" i="143"/>
  <c r="AD263" i="143"/>
  <c r="AD269" i="143"/>
  <c r="AD270" i="143"/>
  <c r="AD271" i="143"/>
  <c r="AD272" i="143"/>
  <c r="AD273" i="143"/>
  <c r="AD274" i="143"/>
  <c r="AD275" i="143"/>
  <c r="AD279" i="143"/>
  <c r="AD280" i="143"/>
  <c r="AD281" i="143"/>
  <c r="AD282" i="143"/>
  <c r="AD283" i="143"/>
  <c r="AD292" i="143"/>
  <c r="AD293" i="143"/>
  <c r="AD294" i="143"/>
  <c r="AD295" i="143"/>
  <c r="AD296" i="143"/>
  <c r="AD301" i="143"/>
  <c r="AD302" i="143"/>
  <c r="AD314" i="143"/>
  <c r="AD315" i="143"/>
  <c r="AD327" i="143"/>
  <c r="AD328" i="143"/>
  <c r="AD334" i="143"/>
  <c r="AD345" i="143"/>
  <c r="AD346" i="143"/>
  <c r="AD357" i="143"/>
  <c r="AD358" i="143"/>
  <c r="AD366" i="143"/>
  <c r="AD367" i="143"/>
  <c r="AD370" i="143"/>
  <c r="AD371" i="143"/>
  <c r="AD372" i="143"/>
  <c r="AD373" i="143"/>
  <c r="AD375" i="143"/>
  <c r="AD376" i="143"/>
  <c r="AD380" i="143"/>
  <c r="AD381" i="143"/>
  <c r="AD382" i="143"/>
  <c r="AD383" i="143"/>
  <c r="AD384" i="143"/>
  <c r="AD394" i="143"/>
  <c r="AD395" i="143"/>
  <c r="AD399" i="143"/>
  <c r="AD403" i="143"/>
  <c r="AD410" i="143"/>
  <c r="AD411" i="143"/>
  <c r="AD416" i="143"/>
  <c r="AD417" i="143"/>
  <c r="AD420" i="143"/>
  <c r="AD421" i="143"/>
  <c r="AD422" i="143"/>
  <c r="AD423" i="143"/>
  <c r="AD424" i="143"/>
  <c r="AD425" i="143"/>
  <c r="AD426" i="143"/>
  <c r="AD427" i="143"/>
  <c r="AD428" i="143"/>
  <c r="AD429" i="143"/>
  <c r="AD430" i="143"/>
  <c r="AN365" i="162" l="1"/>
  <c r="AG399" i="162"/>
  <c r="P384" i="143" s="1"/>
  <c r="AH399" i="162"/>
  <c r="N723" i="163"/>
  <c r="AH389" i="162"/>
  <c r="AH243" i="162"/>
  <c r="AH26" i="162"/>
  <c r="AK492" i="162"/>
  <c r="O389" i="162"/>
  <c r="O100" i="162"/>
  <c r="O11" i="162"/>
  <c r="O330" i="162"/>
  <c r="O305" i="162"/>
  <c r="AH394" i="162"/>
  <c r="AH169" i="162"/>
  <c r="AH68" i="162"/>
  <c r="AH53" i="162"/>
  <c r="AH35" i="162"/>
  <c r="O487" i="162"/>
  <c r="O68" i="162"/>
  <c r="O53" i="162"/>
  <c r="O35" i="162"/>
  <c r="O385" i="162"/>
  <c r="O380" i="162"/>
  <c r="O358" i="162"/>
  <c r="O302" i="162"/>
  <c r="O261" i="162"/>
  <c r="O240" i="162"/>
  <c r="O96" i="162"/>
  <c r="O122" i="162"/>
  <c r="AG3" i="162"/>
  <c r="P10" i="143" s="1"/>
  <c r="AH3" i="162"/>
  <c r="AH327" i="162"/>
  <c r="AH302" i="162"/>
  <c r="AH261" i="162"/>
  <c r="AH203" i="162"/>
  <c r="AH177" i="162"/>
  <c r="AH222" i="162"/>
  <c r="AH133" i="162"/>
  <c r="O203" i="162"/>
  <c r="O193" i="162"/>
  <c r="O133" i="162"/>
  <c r="AH487" i="162"/>
  <c r="AH351" i="162"/>
  <c r="AH343" i="162"/>
  <c r="AH334" i="162"/>
  <c r="AH284" i="162"/>
  <c r="AH208" i="162"/>
  <c r="AH193" i="162"/>
  <c r="AH149" i="162"/>
  <c r="AH145" i="162"/>
  <c r="AH100" i="162"/>
  <c r="AH96" i="162"/>
  <c r="AH81" i="162"/>
  <c r="AH63" i="162"/>
  <c r="AH11" i="162"/>
  <c r="O351" i="162"/>
  <c r="O343" i="162"/>
  <c r="O243" i="162"/>
  <c r="O208" i="162"/>
  <c r="AN165" i="162"/>
  <c r="AL169" i="162"/>
  <c r="O222" i="162"/>
  <c r="O145" i="162"/>
  <c r="O81" i="162"/>
  <c r="O63" i="162"/>
  <c r="AH240" i="162"/>
  <c r="AH163" i="162"/>
  <c r="AH106" i="162"/>
  <c r="O334" i="162"/>
  <c r="O3" i="162"/>
  <c r="O399" i="162"/>
  <c r="O394" i="162"/>
  <c r="O177" i="162"/>
  <c r="O169" i="162"/>
  <c r="O163" i="162"/>
  <c r="O106" i="162"/>
  <c r="O23" i="162"/>
  <c r="AH385" i="162"/>
  <c r="AH380" i="162"/>
  <c r="AH358" i="162"/>
  <c r="AH330" i="162"/>
  <c r="AH305" i="162"/>
  <c r="AH290" i="162"/>
  <c r="AH155" i="162"/>
  <c r="AH122" i="162"/>
  <c r="AH23" i="162"/>
  <c r="AG487" i="162"/>
  <c r="P416" i="143" s="1"/>
  <c r="AG394" i="162"/>
  <c r="P334" i="143" s="1"/>
  <c r="AG389" i="162"/>
  <c r="P293" i="143" s="1"/>
  <c r="AG385" i="162"/>
  <c r="P292" i="143" s="1"/>
  <c r="AG380" i="162"/>
  <c r="P283" i="143" s="1"/>
  <c r="AG360" i="162"/>
  <c r="P273" i="143" s="1"/>
  <c r="AG358" i="162"/>
  <c r="P263" i="143" s="1"/>
  <c r="AG351" i="162"/>
  <c r="P257" i="143" s="1"/>
  <c r="AG345" i="162"/>
  <c r="P251" i="143" s="1"/>
  <c r="AG343" i="162"/>
  <c r="P245" i="143" s="1"/>
  <c r="AG338" i="162"/>
  <c r="P244" i="143" s="1"/>
  <c r="AG330" i="162"/>
  <c r="P229" i="143" s="1"/>
  <c r="AG334" i="162"/>
  <c r="P236" i="143" s="1"/>
  <c r="AG327" i="162"/>
  <c r="P219" i="143" s="1"/>
  <c r="AG308" i="162"/>
  <c r="P218" i="143" s="1"/>
  <c r="AG305" i="162"/>
  <c r="P214" i="143" s="1"/>
  <c r="AG302" i="162"/>
  <c r="P205" i="143" s="1"/>
  <c r="AG292" i="162"/>
  <c r="P203" i="143" s="1"/>
  <c r="AG290" i="162"/>
  <c r="P202" i="143" s="1"/>
  <c r="AG286" i="162"/>
  <c r="P200" i="143" s="1"/>
  <c r="AG284" i="162"/>
  <c r="P197" i="143" s="1"/>
  <c r="AG261" i="162"/>
  <c r="P188" i="143" s="1"/>
  <c r="AG243" i="162"/>
  <c r="P185" i="143" s="1"/>
  <c r="AG240" i="162"/>
  <c r="P184" i="143" s="1"/>
  <c r="AG222" i="162"/>
  <c r="P183" i="143" s="1"/>
  <c r="AG208" i="162"/>
  <c r="P182" i="143" s="1"/>
  <c r="AG203" i="162"/>
  <c r="P181" i="143" s="1"/>
  <c r="AG195" i="162"/>
  <c r="P175" i="143" s="1"/>
  <c r="AG193" i="162"/>
  <c r="P174" i="143" s="1"/>
  <c r="AG177" i="162"/>
  <c r="P173" i="143" s="1"/>
  <c r="AG169" i="162"/>
  <c r="P166" i="143" s="1"/>
  <c r="AG163" i="162"/>
  <c r="P163" i="143" s="1"/>
  <c r="AG155" i="162"/>
  <c r="P158" i="143" s="1"/>
  <c r="AG149" i="162"/>
  <c r="P157" i="143" s="1"/>
  <c r="AG145" i="162"/>
  <c r="P153" i="143" s="1"/>
  <c r="AG133" i="162"/>
  <c r="P144" i="143" s="1"/>
  <c r="AG122" i="162"/>
  <c r="P143" i="143" s="1"/>
  <c r="AG106" i="162"/>
  <c r="P142" i="143" s="1"/>
  <c r="AG102" i="162"/>
  <c r="P141" i="143" s="1"/>
  <c r="AJ96" i="162"/>
  <c r="AJ492" i="162" s="1"/>
  <c r="AG100" i="162"/>
  <c r="P140" i="143" s="1"/>
  <c r="AG96" i="162"/>
  <c r="P139" i="143" s="1"/>
  <c r="AG81" i="162"/>
  <c r="P136" i="143" s="1"/>
  <c r="AG68" i="162"/>
  <c r="P125" i="143" s="1"/>
  <c r="AG63" i="162"/>
  <c r="P100" i="143" s="1"/>
  <c r="AG53" i="162"/>
  <c r="P91" i="143" s="1"/>
  <c r="AG49" i="162"/>
  <c r="P81" i="143" s="1"/>
  <c r="AG47" i="162"/>
  <c r="P76" i="143" s="1"/>
  <c r="AG43" i="162"/>
  <c r="P71" i="143" s="1"/>
  <c r="AG40" i="162"/>
  <c r="P68" i="143" s="1"/>
  <c r="AG38" i="162"/>
  <c r="P67" i="143" s="1"/>
  <c r="AG35" i="162"/>
  <c r="P42" i="143" s="1"/>
  <c r="AG30" i="162"/>
  <c r="P40" i="143" s="1"/>
  <c r="AG28" i="162"/>
  <c r="P37" i="143" s="1"/>
  <c r="AG26" i="162"/>
  <c r="P27" i="143" s="1"/>
  <c r="AG23" i="162"/>
  <c r="P26" i="143" s="1"/>
  <c r="AG11" i="162"/>
  <c r="P18" i="143" s="1"/>
  <c r="AG7" i="162"/>
  <c r="P16" i="143" s="1"/>
  <c r="AG5" i="162"/>
  <c r="P14" i="143" s="1"/>
  <c r="AN348" i="162"/>
  <c r="AN143" i="162"/>
  <c r="H392" i="168"/>
  <c r="AL123" i="162"/>
  <c r="AL109" i="162"/>
  <c r="AL474" i="162"/>
  <c r="AL381" i="162"/>
  <c r="AL385" i="162" s="1"/>
  <c r="AL361" i="162"/>
  <c r="AL380" i="162" s="1"/>
  <c r="AL352" i="162"/>
  <c r="AL358" i="162" s="1"/>
  <c r="AL339" i="162"/>
  <c r="AL343" i="162" s="1"/>
  <c r="AL331" i="162"/>
  <c r="AL334" i="162" s="1"/>
  <c r="AL328" i="162"/>
  <c r="AL330" i="162" s="1"/>
  <c r="AL306" i="162"/>
  <c r="AL308" i="162" s="1"/>
  <c r="AL303" i="162"/>
  <c r="AL305" i="162" s="1"/>
  <c r="AL293" i="162"/>
  <c r="AL302" i="162" s="1"/>
  <c r="AL285" i="162"/>
  <c r="AL286" i="162" s="1"/>
  <c r="AL244" i="162"/>
  <c r="AL261" i="162" s="1"/>
  <c r="AL241" i="162"/>
  <c r="AL243" i="162" s="1"/>
  <c r="AL204" i="162"/>
  <c r="AL208" i="162" s="1"/>
  <c r="AL194" i="162"/>
  <c r="AL195" i="162" s="1"/>
  <c r="AL160" i="162"/>
  <c r="AL223" i="162"/>
  <c r="AL240" i="162" s="1"/>
  <c r="AL209" i="162"/>
  <c r="AL222" i="162" s="1"/>
  <c r="U153" i="143"/>
  <c r="AL112" i="162"/>
  <c r="AL83" i="162"/>
  <c r="AL96" i="162" s="1"/>
  <c r="AL125" i="162"/>
  <c r="AL69" i="162"/>
  <c r="AL81" i="162" s="1"/>
  <c r="AL56" i="162"/>
  <c r="AL63" i="162" s="1"/>
  <c r="AL43" i="162"/>
  <c r="AL36" i="162"/>
  <c r="AL38" i="162" s="1"/>
  <c r="AL29" i="162"/>
  <c r="AL30" i="162" s="1"/>
  <c r="AL25" i="162"/>
  <c r="AL26" i="162" s="1"/>
  <c r="AL2" i="162"/>
  <c r="AL400" i="162"/>
  <c r="AL390" i="162"/>
  <c r="AL394" i="162" s="1"/>
  <c r="AL389" i="162"/>
  <c r="AL359" i="162"/>
  <c r="AL360" i="162" s="1"/>
  <c r="AL344" i="162"/>
  <c r="AL345" i="162" s="1"/>
  <c r="AL335" i="162"/>
  <c r="AL338" i="162" s="1"/>
  <c r="AL310" i="162"/>
  <c r="AL327" i="162" s="1"/>
  <c r="AL291" i="162"/>
  <c r="AL292" i="162" s="1"/>
  <c r="AL203" i="162"/>
  <c r="AL178" i="162"/>
  <c r="AL193" i="162" s="1"/>
  <c r="AL170" i="162"/>
  <c r="AL177" i="162" s="1"/>
  <c r="AL158" i="162"/>
  <c r="AL97" i="162"/>
  <c r="AL100" i="162" s="1"/>
  <c r="AL103" i="162"/>
  <c r="AL106" i="162" s="1"/>
  <c r="AL65" i="162"/>
  <c r="AL68" i="162" s="1"/>
  <c r="AL50" i="162"/>
  <c r="AL53" i="162" s="1"/>
  <c r="AL46" i="162"/>
  <c r="AL47" i="162" s="1"/>
  <c r="AL39" i="162"/>
  <c r="AL40" i="162" s="1"/>
  <c r="AL31" i="162"/>
  <c r="AL35" i="162" s="1"/>
  <c r="AL12" i="162"/>
  <c r="AL23" i="162" s="1"/>
  <c r="AL8" i="162"/>
  <c r="AL11" i="162" s="1"/>
  <c r="AL4" i="162"/>
  <c r="AL5" i="162" s="1"/>
  <c r="AI262" i="162"/>
  <c r="AI363" i="162"/>
  <c r="AI297" i="162"/>
  <c r="AM297" i="162" s="1"/>
  <c r="AO297" i="162" s="1"/>
  <c r="AI200" i="162"/>
  <c r="AM200" i="162" s="1"/>
  <c r="AO200" i="162" s="1"/>
  <c r="AI141" i="162"/>
  <c r="AM141" i="162" s="1"/>
  <c r="AO141" i="162" s="1"/>
  <c r="AI87" i="162"/>
  <c r="AO87" i="162" s="1"/>
  <c r="AI73" i="162"/>
  <c r="AM73" i="162" s="1"/>
  <c r="AO73" i="162" s="1"/>
  <c r="AI463" i="162"/>
  <c r="AM463" i="162" s="1"/>
  <c r="AO463" i="162" s="1"/>
  <c r="AI423" i="162"/>
  <c r="AM423" i="162" s="1"/>
  <c r="AO423" i="162" s="1"/>
  <c r="AI366" i="162"/>
  <c r="AM366" i="162" s="1"/>
  <c r="AO366" i="162" s="1"/>
  <c r="AI231" i="162"/>
  <c r="AO231" i="162" s="1"/>
  <c r="AI204" i="162"/>
  <c r="AI121" i="162"/>
  <c r="AM121" i="162" s="1"/>
  <c r="AO121" i="162" s="1"/>
  <c r="AI89" i="162"/>
  <c r="AM89" i="162" s="1"/>
  <c r="AO89" i="162" s="1"/>
  <c r="AI422" i="162"/>
  <c r="AI406" i="162"/>
  <c r="AM406" i="162" s="1"/>
  <c r="AO406" i="162" s="1"/>
  <c r="AI185" i="162"/>
  <c r="AM185" i="162" s="1"/>
  <c r="AO185" i="162" s="1"/>
  <c r="AI445" i="162"/>
  <c r="AM445" i="162" s="1"/>
  <c r="AO445" i="162" s="1"/>
  <c r="AI348" i="162"/>
  <c r="AM348" i="162" s="1"/>
  <c r="AI225" i="162"/>
  <c r="AM225" i="162" s="1"/>
  <c r="AO225" i="162" s="1"/>
  <c r="AI188" i="162"/>
  <c r="AM188" i="162" s="1"/>
  <c r="AO188" i="162" s="1"/>
  <c r="AI474" i="162"/>
  <c r="AI464" i="162"/>
  <c r="AM464" i="162" s="1"/>
  <c r="AO464" i="162" s="1"/>
  <c r="AI460" i="162"/>
  <c r="AM460" i="162" s="1"/>
  <c r="AO460" i="162" s="1"/>
  <c r="AI456" i="162"/>
  <c r="AM456" i="162" s="1"/>
  <c r="AO456" i="162" s="1"/>
  <c r="AI452" i="162"/>
  <c r="AM452" i="162" s="1"/>
  <c r="AO452" i="162" s="1"/>
  <c r="AI448" i="162"/>
  <c r="AM448" i="162" s="1"/>
  <c r="AO448" i="162" s="1"/>
  <c r="AI444" i="162"/>
  <c r="AI440" i="162"/>
  <c r="AM440" i="162" s="1"/>
  <c r="AO440" i="162" s="1"/>
  <c r="AI436" i="162"/>
  <c r="AM436" i="162" s="1"/>
  <c r="AO436" i="162" s="1"/>
  <c r="AI428" i="162"/>
  <c r="AM428" i="162" s="1"/>
  <c r="AO428" i="162" s="1"/>
  <c r="AI424" i="162"/>
  <c r="AM424" i="162" s="1"/>
  <c r="AO424" i="162" s="1"/>
  <c r="AI420" i="162"/>
  <c r="AM420" i="162" s="1"/>
  <c r="AO420" i="162" s="1"/>
  <c r="AI416" i="162"/>
  <c r="AM416" i="162" s="1"/>
  <c r="AO416" i="162" s="1"/>
  <c r="AI412" i="162"/>
  <c r="AM412" i="162" s="1"/>
  <c r="AO412" i="162" s="1"/>
  <c r="AI408" i="162"/>
  <c r="AM408" i="162" s="1"/>
  <c r="AO408" i="162" s="1"/>
  <c r="AI404" i="162"/>
  <c r="AM404" i="162" s="1"/>
  <c r="AO404" i="162" s="1"/>
  <c r="AI400" i="162"/>
  <c r="AI393" i="162"/>
  <c r="AO393" i="162" s="1"/>
  <c r="AI387" i="162"/>
  <c r="AO387" i="162" s="1"/>
  <c r="AI383" i="162"/>
  <c r="AM383" i="162" s="1"/>
  <c r="AO383" i="162" s="1"/>
  <c r="AI371" i="162"/>
  <c r="AI367" i="162"/>
  <c r="AO367" i="162" s="1"/>
  <c r="AI354" i="162"/>
  <c r="AO354" i="162" s="1"/>
  <c r="AI347" i="162"/>
  <c r="AM347" i="162" s="1"/>
  <c r="AO347" i="162" s="1"/>
  <c r="AI340" i="162"/>
  <c r="AM340" i="162" s="1"/>
  <c r="AO340" i="162" s="1"/>
  <c r="AI332" i="162"/>
  <c r="AM332" i="162" s="1"/>
  <c r="AO332" i="162" s="1"/>
  <c r="AI325" i="162"/>
  <c r="AI321" i="162"/>
  <c r="AI317" i="162"/>
  <c r="AI313" i="162"/>
  <c r="AI309" i="162"/>
  <c r="AI301" i="162"/>
  <c r="AM301" i="162" s="1"/>
  <c r="AO301" i="162" s="1"/>
  <c r="AI293" i="162"/>
  <c r="AI285" i="162"/>
  <c r="AI279" i="162"/>
  <c r="AI275" i="162"/>
  <c r="AI271" i="162"/>
  <c r="AI267" i="162"/>
  <c r="AI263" i="162"/>
  <c r="AI256" i="162"/>
  <c r="AM256" i="162" s="1"/>
  <c r="AI252" i="162"/>
  <c r="AM252" i="162" s="1"/>
  <c r="AI248" i="162"/>
  <c r="AM248" i="162" s="1"/>
  <c r="AI244" i="162"/>
  <c r="AI236" i="162"/>
  <c r="AO236" i="162" s="1"/>
  <c r="AI232" i="162"/>
  <c r="AM232" i="162" s="1"/>
  <c r="AO232" i="162" s="1"/>
  <c r="AI228" i="162"/>
  <c r="AO228" i="162" s="1"/>
  <c r="AI224" i="162"/>
  <c r="AO224" i="162" s="1"/>
  <c r="AI216" i="162"/>
  <c r="AO216" i="162" s="1"/>
  <c r="AI212" i="162"/>
  <c r="AM212" i="162" s="1"/>
  <c r="AO212" i="162" s="1"/>
  <c r="AI205" i="162"/>
  <c r="AM205" i="162" s="1"/>
  <c r="AO205" i="162" s="1"/>
  <c r="AI196" i="162"/>
  <c r="AI191" i="162"/>
  <c r="AM191" i="162" s="1"/>
  <c r="AO191" i="162" s="1"/>
  <c r="AI187" i="162"/>
  <c r="AI183" i="162"/>
  <c r="AM183" i="162" s="1"/>
  <c r="AO183" i="162" s="1"/>
  <c r="AI179" i="162"/>
  <c r="AM179" i="162" s="1"/>
  <c r="AO179" i="162" s="1"/>
  <c r="AI174" i="162"/>
  <c r="AM174" i="162" s="1"/>
  <c r="AO174" i="162" s="1"/>
  <c r="AI170" i="162"/>
  <c r="AI164" i="162"/>
  <c r="AO164" i="162" s="1"/>
  <c r="AI153" i="162"/>
  <c r="AI147" i="162"/>
  <c r="AI209" i="162"/>
  <c r="AI130" i="162"/>
  <c r="AM130" i="162" s="1"/>
  <c r="AO130" i="162" s="1"/>
  <c r="AI126" i="162"/>
  <c r="AI118" i="162"/>
  <c r="AO118" i="162" s="1"/>
  <c r="AI115" i="162"/>
  <c r="AM115" i="162" s="1"/>
  <c r="AO115" i="162" s="1"/>
  <c r="AI104" i="162"/>
  <c r="AM104" i="162" s="1"/>
  <c r="AO104" i="162" s="1"/>
  <c r="AI98" i="162"/>
  <c r="AM98" i="162" s="1"/>
  <c r="AO98" i="162" s="1"/>
  <c r="AI90" i="162"/>
  <c r="AI83" i="162"/>
  <c r="AM83" i="162" s="1"/>
  <c r="AI77" i="162"/>
  <c r="AM77" i="162" s="1"/>
  <c r="AO77" i="162" s="1"/>
  <c r="AI75" i="162"/>
  <c r="AI123" i="162"/>
  <c r="AI65" i="162"/>
  <c r="AI57" i="162"/>
  <c r="AM57" i="162" s="1"/>
  <c r="AO57" i="162" s="1"/>
  <c r="AI50" i="162"/>
  <c r="AI39" i="162"/>
  <c r="AI31" i="162"/>
  <c r="AI24" i="162"/>
  <c r="AI15" i="162"/>
  <c r="AM15" i="162" s="1"/>
  <c r="AO15" i="162" s="1"/>
  <c r="AI9" i="162"/>
  <c r="AI467" i="162"/>
  <c r="AM467" i="162" s="1"/>
  <c r="AO467" i="162" s="1"/>
  <c r="AI459" i="162"/>
  <c r="AM459" i="162" s="1"/>
  <c r="AO459" i="162" s="1"/>
  <c r="AI455" i="162"/>
  <c r="AM455" i="162" s="1"/>
  <c r="AO455" i="162" s="1"/>
  <c r="AI451" i="162"/>
  <c r="AM451" i="162" s="1"/>
  <c r="AO451" i="162" s="1"/>
  <c r="AI447" i="162"/>
  <c r="AM447" i="162" s="1"/>
  <c r="AO447" i="162" s="1"/>
  <c r="AI443" i="162"/>
  <c r="AM443" i="162" s="1"/>
  <c r="AO443" i="162" s="1"/>
  <c r="AI439" i="162"/>
  <c r="AM439" i="162" s="1"/>
  <c r="AO439" i="162" s="1"/>
  <c r="AI435" i="162"/>
  <c r="AM435" i="162" s="1"/>
  <c r="AO435" i="162" s="1"/>
  <c r="AI431" i="162"/>
  <c r="AM431" i="162" s="1"/>
  <c r="AO431" i="162" s="1"/>
  <c r="AI427" i="162"/>
  <c r="AM427" i="162" s="1"/>
  <c r="AO427" i="162" s="1"/>
  <c r="AI419" i="162"/>
  <c r="AM419" i="162" s="1"/>
  <c r="AO419" i="162" s="1"/>
  <c r="AI415" i="162"/>
  <c r="AI411" i="162"/>
  <c r="AM411" i="162" s="1"/>
  <c r="AO411" i="162" s="1"/>
  <c r="AI407" i="162"/>
  <c r="AM407" i="162" s="1"/>
  <c r="AO407" i="162" s="1"/>
  <c r="AI403" i="162"/>
  <c r="AM403" i="162" s="1"/>
  <c r="AO403" i="162" s="1"/>
  <c r="AI397" i="162"/>
  <c r="AI392" i="162"/>
  <c r="AM392" i="162" s="1"/>
  <c r="AI386" i="162"/>
  <c r="AI382" i="162"/>
  <c r="AM382" i="162" s="1"/>
  <c r="AO382" i="162" s="1"/>
  <c r="AI370" i="162"/>
  <c r="AI362" i="162"/>
  <c r="AM362" i="162" s="1"/>
  <c r="AO362" i="162" s="1"/>
  <c r="AI353" i="162"/>
  <c r="AM353" i="162" s="1"/>
  <c r="AO353" i="162" s="1"/>
  <c r="AI346" i="162"/>
  <c r="AI339" i="162"/>
  <c r="AI331" i="162"/>
  <c r="AI324" i="162"/>
  <c r="AI320" i="162"/>
  <c r="AI316" i="162"/>
  <c r="AI312" i="162"/>
  <c r="AI306" i="162"/>
  <c r="AI300" i="162"/>
  <c r="AI296" i="162"/>
  <c r="AM296" i="162" s="1"/>
  <c r="AO296" i="162" s="1"/>
  <c r="AI291" i="162"/>
  <c r="AI282" i="162"/>
  <c r="AI278" i="162"/>
  <c r="AI274" i="162"/>
  <c r="AI270" i="162"/>
  <c r="AI266" i="162"/>
  <c r="AI255" i="162"/>
  <c r="AM255" i="162" s="1"/>
  <c r="AI251" i="162"/>
  <c r="AM251" i="162" s="1"/>
  <c r="AI247" i="162"/>
  <c r="AI242" i="162"/>
  <c r="AO242" i="162" s="1"/>
  <c r="AI235" i="162"/>
  <c r="AM235" i="162" s="1"/>
  <c r="AO235" i="162" s="1"/>
  <c r="AI227" i="162"/>
  <c r="AM227" i="162" s="1"/>
  <c r="AO227" i="162" s="1"/>
  <c r="AI219" i="162"/>
  <c r="AO219" i="162" s="1"/>
  <c r="AI215" i="162"/>
  <c r="AM215" i="162" s="1"/>
  <c r="AO215" i="162" s="1"/>
  <c r="AI211" i="162"/>
  <c r="AM211" i="162" s="1"/>
  <c r="AO211" i="162" s="1"/>
  <c r="AI199" i="162"/>
  <c r="AM199" i="162" s="1"/>
  <c r="AO199" i="162" s="1"/>
  <c r="AI194" i="162"/>
  <c r="AI190" i="162"/>
  <c r="AM190" i="162" s="1"/>
  <c r="AO190" i="162" s="1"/>
  <c r="AI186" i="162"/>
  <c r="AM186" i="162" s="1"/>
  <c r="AO186" i="162" s="1"/>
  <c r="AI182" i="162"/>
  <c r="AM182" i="162" s="1"/>
  <c r="AO182" i="162" s="1"/>
  <c r="AI178" i="162"/>
  <c r="AI173" i="162"/>
  <c r="AM173" i="162" s="1"/>
  <c r="AO173" i="162" s="1"/>
  <c r="AI167" i="162"/>
  <c r="AM167" i="162" s="1"/>
  <c r="AO167" i="162" s="1"/>
  <c r="AI162" i="162"/>
  <c r="AI152" i="162"/>
  <c r="AI146" i="162"/>
  <c r="AI144" i="162"/>
  <c r="AI140" i="162"/>
  <c r="AI129" i="162"/>
  <c r="AI117" i="162"/>
  <c r="AM117" i="162" s="1"/>
  <c r="AO117" i="162" s="1"/>
  <c r="AI114" i="162"/>
  <c r="AM114" i="162" s="1"/>
  <c r="AO114" i="162" s="1"/>
  <c r="AI159" i="162"/>
  <c r="AM159" i="162" s="1"/>
  <c r="AO159" i="162" s="1"/>
  <c r="AI97" i="162"/>
  <c r="AI86" i="162"/>
  <c r="AI82" i="162"/>
  <c r="AI110" i="162"/>
  <c r="AI124" i="162"/>
  <c r="AO124" i="162" s="1"/>
  <c r="AI72" i="162"/>
  <c r="AM72" i="162" s="1"/>
  <c r="AO72" i="162" s="1"/>
  <c r="AI69" i="162"/>
  <c r="AI60" i="162"/>
  <c r="AM60" i="162" s="1"/>
  <c r="AO60" i="162" s="1"/>
  <c r="AI56" i="162"/>
  <c r="AI48" i="162"/>
  <c r="AI36" i="162"/>
  <c r="AI29" i="162"/>
  <c r="AI18" i="162"/>
  <c r="AM18" i="162" s="1"/>
  <c r="AO18" i="162" s="1"/>
  <c r="AI14" i="162"/>
  <c r="AM14" i="162" s="1"/>
  <c r="AO14" i="162" s="1"/>
  <c r="AI8" i="162"/>
  <c r="AI466" i="162"/>
  <c r="AM466" i="162" s="1"/>
  <c r="AO466" i="162" s="1"/>
  <c r="AI462" i="162"/>
  <c r="AO462" i="162" s="1"/>
  <c r="AI458" i="162"/>
  <c r="AM458" i="162" s="1"/>
  <c r="AO458" i="162" s="1"/>
  <c r="AI454" i="162"/>
  <c r="AM454" i="162" s="1"/>
  <c r="AO454" i="162" s="1"/>
  <c r="AI450" i="162"/>
  <c r="AM450" i="162" s="1"/>
  <c r="AO450" i="162" s="1"/>
  <c r="AI446" i="162"/>
  <c r="AM446" i="162" s="1"/>
  <c r="AO446" i="162" s="1"/>
  <c r="AI442" i="162"/>
  <c r="AM442" i="162" s="1"/>
  <c r="AO442" i="162" s="1"/>
  <c r="AI438" i="162"/>
  <c r="AM438" i="162" s="1"/>
  <c r="AO438" i="162" s="1"/>
  <c r="AI434" i="162"/>
  <c r="AO434" i="162" s="1"/>
  <c r="AI430" i="162"/>
  <c r="AM430" i="162" s="1"/>
  <c r="AO430" i="162" s="1"/>
  <c r="AI426" i="162"/>
  <c r="AM426" i="162" s="1"/>
  <c r="AO426" i="162" s="1"/>
  <c r="AI418" i="162"/>
  <c r="AM418" i="162" s="1"/>
  <c r="AO418" i="162" s="1"/>
  <c r="AI414" i="162"/>
  <c r="AM414" i="162" s="1"/>
  <c r="AO414" i="162" s="1"/>
  <c r="AI410" i="162"/>
  <c r="AI402" i="162"/>
  <c r="AM402" i="162" s="1"/>
  <c r="AO402" i="162" s="1"/>
  <c r="AI396" i="162"/>
  <c r="AI391" i="162"/>
  <c r="AI376" i="162"/>
  <c r="AO376" i="162" s="1"/>
  <c r="AI381" i="162"/>
  <c r="AI369" i="162"/>
  <c r="AO369" i="162" s="1"/>
  <c r="AI365" i="162"/>
  <c r="AM365" i="162" s="1"/>
  <c r="AO365" i="162" s="1"/>
  <c r="AI361" i="162"/>
  <c r="AI352" i="162"/>
  <c r="AI344" i="162"/>
  <c r="AI335" i="162"/>
  <c r="AI329" i="162"/>
  <c r="AM329" i="162" s="1"/>
  <c r="AO329" i="162" s="1"/>
  <c r="AI323" i="162"/>
  <c r="AI319" i="162"/>
  <c r="AI315" i="162"/>
  <c r="AM315" i="162" s="1"/>
  <c r="AI311" i="162"/>
  <c r="AI304" i="162"/>
  <c r="AM304" i="162" s="1"/>
  <c r="AO304" i="162" s="1"/>
  <c r="AI299" i="162"/>
  <c r="AM299" i="162" s="1"/>
  <c r="AO299" i="162" s="1"/>
  <c r="AI295" i="162"/>
  <c r="AM295" i="162" s="1"/>
  <c r="AO295" i="162" s="1"/>
  <c r="AI288" i="162"/>
  <c r="AM288" i="162" s="1"/>
  <c r="AI281" i="162"/>
  <c r="AI277" i="162"/>
  <c r="AI273" i="162"/>
  <c r="AI269" i="162"/>
  <c r="AI265" i="162"/>
  <c r="AI258" i="162"/>
  <c r="AM258" i="162" s="1"/>
  <c r="AI254" i="162"/>
  <c r="AI250" i="162"/>
  <c r="AM250" i="162" s="1"/>
  <c r="AI246" i="162"/>
  <c r="AM246" i="162" s="1"/>
  <c r="AI241" i="162"/>
  <c r="AI234" i="162"/>
  <c r="AI230" i="162"/>
  <c r="AM230" i="162" s="1"/>
  <c r="AO230" i="162" s="1"/>
  <c r="AI226" i="162"/>
  <c r="AM226" i="162" s="1"/>
  <c r="AO226" i="162" s="1"/>
  <c r="AI218" i="162"/>
  <c r="AI214" i="162"/>
  <c r="AM214" i="162" s="1"/>
  <c r="AO214" i="162" s="1"/>
  <c r="AI206" i="162"/>
  <c r="AM206" i="162" s="1"/>
  <c r="AO206" i="162" s="1"/>
  <c r="AI202" i="162"/>
  <c r="AM202" i="162" s="1"/>
  <c r="AO202" i="162" s="1"/>
  <c r="AI465" i="162"/>
  <c r="AM465" i="162" s="1"/>
  <c r="AO465" i="162" s="1"/>
  <c r="AI461" i="162"/>
  <c r="AM461" i="162" s="1"/>
  <c r="AO461" i="162" s="1"/>
  <c r="AI457" i="162"/>
  <c r="AM457" i="162" s="1"/>
  <c r="AO457" i="162" s="1"/>
  <c r="AI453" i="162"/>
  <c r="AI449" i="162"/>
  <c r="AM449" i="162" s="1"/>
  <c r="AO449" i="162" s="1"/>
  <c r="AI441" i="162"/>
  <c r="AO441" i="162" s="1"/>
  <c r="AI437" i="162"/>
  <c r="AM437" i="162" s="1"/>
  <c r="AO437" i="162" s="1"/>
  <c r="AI433" i="162"/>
  <c r="AM433" i="162" s="1"/>
  <c r="AO433" i="162" s="1"/>
  <c r="AI429" i="162"/>
  <c r="AM429" i="162" s="1"/>
  <c r="AO429" i="162" s="1"/>
  <c r="AI425" i="162"/>
  <c r="AM425" i="162" s="1"/>
  <c r="AO425" i="162" s="1"/>
  <c r="AI421" i="162"/>
  <c r="AM421" i="162" s="1"/>
  <c r="AO421" i="162" s="1"/>
  <c r="AI417" i="162"/>
  <c r="AM417" i="162" s="1"/>
  <c r="AO417" i="162" s="1"/>
  <c r="AI413" i="162"/>
  <c r="AM413" i="162" s="1"/>
  <c r="AO413" i="162" s="1"/>
  <c r="AI409" i="162"/>
  <c r="AM409" i="162" s="1"/>
  <c r="AO409" i="162" s="1"/>
  <c r="AI405" i="162"/>
  <c r="AM405" i="162" s="1"/>
  <c r="AO405" i="162" s="1"/>
  <c r="AI401" i="162"/>
  <c r="AM401" i="162" s="1"/>
  <c r="AO401" i="162" s="1"/>
  <c r="AI395" i="162"/>
  <c r="AI390" i="162"/>
  <c r="AO390" i="162" s="1"/>
  <c r="AI384" i="162"/>
  <c r="AM384" i="162" s="1"/>
  <c r="AO384" i="162" s="1"/>
  <c r="AI372" i="162"/>
  <c r="AO372" i="162" s="1"/>
  <c r="AI368" i="162"/>
  <c r="AM368" i="162" s="1"/>
  <c r="AO368" i="162" s="1"/>
  <c r="AI364" i="162"/>
  <c r="AO364" i="162" s="1"/>
  <c r="AI359" i="162"/>
  <c r="AI341" i="162"/>
  <c r="AM341" i="162" s="1"/>
  <c r="AO341" i="162" s="1"/>
  <c r="AI333" i="162"/>
  <c r="AM333" i="162" s="1"/>
  <c r="AO333" i="162" s="1"/>
  <c r="AI328" i="162"/>
  <c r="AI322" i="162"/>
  <c r="AI318" i="162"/>
  <c r="AI314" i="162"/>
  <c r="AI310" i="162"/>
  <c r="AI303" i="162"/>
  <c r="AI298" i="162"/>
  <c r="AM298" i="162" s="1"/>
  <c r="AO298" i="162" s="1"/>
  <c r="AI294" i="162"/>
  <c r="AM294" i="162" s="1"/>
  <c r="AO294" i="162" s="1"/>
  <c r="AI287" i="162"/>
  <c r="AI280" i="162"/>
  <c r="AI276" i="162"/>
  <c r="AI272" i="162"/>
  <c r="AI268" i="162"/>
  <c r="AI264" i="162"/>
  <c r="AI257" i="162"/>
  <c r="AM257" i="162" s="1"/>
  <c r="AI253" i="162"/>
  <c r="AM253" i="162" s="1"/>
  <c r="AI249" i="162"/>
  <c r="AM249" i="162" s="1"/>
  <c r="AI245" i="162"/>
  <c r="AM245" i="162" s="1"/>
  <c r="AI237" i="162"/>
  <c r="AO237" i="162" s="1"/>
  <c r="AI233" i="162"/>
  <c r="AM233" i="162" s="1"/>
  <c r="AO233" i="162" s="1"/>
  <c r="AI229" i="162"/>
  <c r="AM229" i="162" s="1"/>
  <c r="AO229" i="162" s="1"/>
  <c r="AI217" i="162"/>
  <c r="AM217" i="162" s="1"/>
  <c r="AO217" i="162" s="1"/>
  <c r="AI213" i="162"/>
  <c r="AM213" i="162" s="1"/>
  <c r="AO213" i="162" s="1"/>
  <c r="AI132" i="162"/>
  <c r="AM132" i="162" s="1"/>
  <c r="AO132" i="162" s="1"/>
  <c r="AI201" i="162"/>
  <c r="AM201" i="162" s="1"/>
  <c r="AO201" i="162" s="1"/>
  <c r="AI197" i="162"/>
  <c r="AM197" i="162" s="1"/>
  <c r="AO197" i="162" s="1"/>
  <c r="AI476" i="162"/>
  <c r="AO476" i="162" s="1"/>
  <c r="AI184" i="162"/>
  <c r="AM184" i="162" s="1"/>
  <c r="AO184" i="162" s="1"/>
  <c r="AI180" i="162"/>
  <c r="AM180" i="162" s="1"/>
  <c r="AO180" i="162" s="1"/>
  <c r="AI175" i="162"/>
  <c r="AM175" i="162" s="1"/>
  <c r="AO175" i="162" s="1"/>
  <c r="AI171" i="162"/>
  <c r="AM171" i="162" s="1"/>
  <c r="AO171" i="162" s="1"/>
  <c r="AI165" i="162"/>
  <c r="AI160" i="162"/>
  <c r="AI150" i="162"/>
  <c r="AI210" i="162"/>
  <c r="AI142" i="162"/>
  <c r="AM142" i="162" s="1"/>
  <c r="AO142" i="162" s="1"/>
  <c r="AI131" i="162"/>
  <c r="AM131" i="162" s="1"/>
  <c r="AO131" i="162" s="1"/>
  <c r="AI127" i="162"/>
  <c r="AM127" i="162" s="1"/>
  <c r="AO127" i="162" s="1"/>
  <c r="AI119" i="162"/>
  <c r="AM119" i="162" s="1"/>
  <c r="AO119" i="162" s="1"/>
  <c r="AI111" i="162"/>
  <c r="AM111" i="162" s="1"/>
  <c r="AO111" i="162" s="1"/>
  <c r="AI112" i="162"/>
  <c r="AI101" i="162"/>
  <c r="AI91" i="162"/>
  <c r="AI88" i="162"/>
  <c r="AM88" i="162" s="1"/>
  <c r="AO88" i="162" s="1"/>
  <c r="AI84" i="162"/>
  <c r="AM84" i="162" s="1"/>
  <c r="AO84" i="162" s="1"/>
  <c r="AI78" i="162"/>
  <c r="AM78" i="162" s="1"/>
  <c r="AO78" i="162" s="1"/>
  <c r="AI125" i="162"/>
  <c r="AI109" i="162"/>
  <c r="AI70" i="162"/>
  <c r="AM70" i="162" s="1"/>
  <c r="AI66" i="162"/>
  <c r="AM66" i="162" s="1"/>
  <c r="AO66" i="162" s="1"/>
  <c r="AI58" i="162"/>
  <c r="AI51" i="162"/>
  <c r="AM51" i="162" s="1"/>
  <c r="AO51" i="162" s="1"/>
  <c r="AI41" i="162"/>
  <c r="AI32" i="162"/>
  <c r="AM32" i="162" s="1"/>
  <c r="AO32" i="162" s="1"/>
  <c r="AI25" i="162"/>
  <c r="AM25" i="162" s="1"/>
  <c r="AI16" i="162"/>
  <c r="AM16" i="162" s="1"/>
  <c r="AO16" i="162" s="1"/>
  <c r="AI12" i="162"/>
  <c r="AI4" i="162"/>
  <c r="AI2" i="162"/>
  <c r="AM2" i="162" s="1"/>
  <c r="AI198" i="162"/>
  <c r="AM198" i="162" s="1"/>
  <c r="AO198" i="162" s="1"/>
  <c r="AI192" i="162"/>
  <c r="AM192" i="162" s="1"/>
  <c r="AO192" i="162" s="1"/>
  <c r="AI189" i="162"/>
  <c r="AM189" i="162" s="1"/>
  <c r="AO189" i="162" s="1"/>
  <c r="AI181" i="162"/>
  <c r="AM181" i="162" s="1"/>
  <c r="AO181" i="162" s="1"/>
  <c r="AI176" i="162"/>
  <c r="AI172" i="162"/>
  <c r="AM172" i="162" s="1"/>
  <c r="AO172" i="162" s="1"/>
  <c r="AI166" i="162"/>
  <c r="AO166" i="162" s="1"/>
  <c r="AI161" i="162"/>
  <c r="AI151" i="162"/>
  <c r="AI223" i="162"/>
  <c r="AI143" i="162"/>
  <c r="AM143" i="162" s="1"/>
  <c r="AO143" i="162" s="1"/>
  <c r="AI94" i="162"/>
  <c r="AM94" i="162" s="1"/>
  <c r="AO94" i="162" s="1"/>
  <c r="AI128" i="162"/>
  <c r="AM128" i="162" s="1"/>
  <c r="AO128" i="162" s="1"/>
  <c r="AI120" i="162"/>
  <c r="AM120" i="162" s="1"/>
  <c r="AO120" i="162" s="1"/>
  <c r="AI116" i="162"/>
  <c r="AI113" i="162"/>
  <c r="AM113" i="162" s="1"/>
  <c r="AO113" i="162" s="1"/>
  <c r="AI158" i="162"/>
  <c r="AI92" i="162"/>
  <c r="AI103" i="162"/>
  <c r="AI85" i="162"/>
  <c r="AM85" i="162" s="1"/>
  <c r="AO85" i="162" s="1"/>
  <c r="AI79" i="162"/>
  <c r="AO79" i="162" s="1"/>
  <c r="AI76" i="162"/>
  <c r="AM76" i="162" s="1"/>
  <c r="AO76" i="162" s="1"/>
  <c r="AI74" i="162"/>
  <c r="AI71" i="162"/>
  <c r="AM71" i="162" s="1"/>
  <c r="AO71" i="162" s="1"/>
  <c r="AI67" i="162"/>
  <c r="AI59" i="162"/>
  <c r="AM59" i="162" s="1"/>
  <c r="AO59" i="162" s="1"/>
  <c r="AI52" i="162"/>
  <c r="AM52" i="162" s="1"/>
  <c r="AO52" i="162" s="1"/>
  <c r="AI46" i="162"/>
  <c r="AI33" i="162"/>
  <c r="AM33" i="162" s="1"/>
  <c r="AO33" i="162" s="1"/>
  <c r="AI27" i="162"/>
  <c r="AQ27" i="162" s="1"/>
  <c r="AI17" i="162"/>
  <c r="AM17" i="162" s="1"/>
  <c r="AO17" i="162" s="1"/>
  <c r="AI13" i="162"/>
  <c r="AM13" i="162" s="1"/>
  <c r="AO13" i="162" s="1"/>
  <c r="AI6" i="162"/>
  <c r="AM9" i="162" l="1"/>
  <c r="AQ9" i="162"/>
  <c r="AI28" i="162"/>
  <c r="AM27" i="162"/>
  <c r="AM371" i="162"/>
  <c r="AO371" i="162" s="1"/>
  <c r="AI399" i="162"/>
  <c r="Q394" i="143" s="1"/>
  <c r="AL133" i="162"/>
  <c r="AI351" i="162"/>
  <c r="O492" i="162"/>
  <c r="AI290" i="162"/>
  <c r="AL487" i="162"/>
  <c r="AI305" i="162"/>
  <c r="AI358" i="162"/>
  <c r="Q269" i="143" s="1"/>
  <c r="AH492" i="162"/>
  <c r="AG492" i="162"/>
  <c r="AI3" i="162"/>
  <c r="Q10" i="143" s="1"/>
  <c r="AI389" i="162"/>
  <c r="AM351" i="162"/>
  <c r="R257" i="143" s="1"/>
  <c r="S257" i="143" s="1"/>
  <c r="AM290" i="162"/>
  <c r="R202" i="143" s="1"/>
  <c r="S202" i="143" s="1"/>
  <c r="AL163" i="162"/>
  <c r="AL3" i="162"/>
  <c r="AO315" i="162"/>
  <c r="AM327" i="162"/>
  <c r="R219" i="143" s="1"/>
  <c r="AI394" i="162"/>
  <c r="Q345" i="143" s="1"/>
  <c r="AL122" i="162"/>
  <c r="AI487" i="162"/>
  <c r="AM394" i="162"/>
  <c r="R334" i="143" s="1"/>
  <c r="S334" i="143" s="1"/>
  <c r="AI385" i="162"/>
  <c r="AI100" i="162"/>
  <c r="AI330" i="162"/>
  <c r="AI380" i="162"/>
  <c r="AI360" i="162"/>
  <c r="Q274" i="143" s="1"/>
  <c r="AI345" i="162"/>
  <c r="AI343" i="162"/>
  <c r="AI338" i="162"/>
  <c r="AI334" i="162"/>
  <c r="Q238" i="143" s="1"/>
  <c r="AI327" i="162"/>
  <c r="AI308" i="162"/>
  <c r="AI302" i="162"/>
  <c r="AI292" i="162"/>
  <c r="AI149" i="162"/>
  <c r="AI286" i="162"/>
  <c r="AI284" i="162"/>
  <c r="Q198" i="143" s="1"/>
  <c r="AI261" i="162"/>
  <c r="Q195" i="143" s="1"/>
  <c r="AI240" i="162"/>
  <c r="AI163" i="162"/>
  <c r="AI243" i="162"/>
  <c r="AI222" i="162"/>
  <c r="AI208" i="162"/>
  <c r="AI106" i="162"/>
  <c r="AI203" i="162"/>
  <c r="AI195" i="162"/>
  <c r="AI193" i="162"/>
  <c r="AI177" i="162"/>
  <c r="AI169" i="162"/>
  <c r="AI155" i="162"/>
  <c r="AI145" i="162"/>
  <c r="AI133" i="162"/>
  <c r="AI122" i="162"/>
  <c r="AI102" i="162"/>
  <c r="AI96" i="162"/>
  <c r="AM96" i="162"/>
  <c r="R139" i="143" s="1"/>
  <c r="S139" i="143" s="1"/>
  <c r="AM81" i="162"/>
  <c r="R136" i="143" s="1"/>
  <c r="S136" i="143" s="1"/>
  <c r="AI81" i="162"/>
  <c r="AI68" i="162"/>
  <c r="Q134" i="143" s="1"/>
  <c r="AI63" i="162"/>
  <c r="Q113" i="143" s="1"/>
  <c r="AI53" i="162"/>
  <c r="Q97" i="143" s="1"/>
  <c r="AI11" i="162"/>
  <c r="AI49" i="162"/>
  <c r="Q89" i="143" s="1"/>
  <c r="AI47" i="162"/>
  <c r="AI43" i="162"/>
  <c r="AI40" i="162"/>
  <c r="AI38" i="162"/>
  <c r="AI35" i="162"/>
  <c r="AI30" i="162"/>
  <c r="AM26" i="162"/>
  <c r="R27" i="143" s="1"/>
  <c r="S27" i="143" s="1"/>
  <c r="AI26" i="162"/>
  <c r="AI23" i="162"/>
  <c r="AI7" i="162"/>
  <c r="AI5" i="162"/>
  <c r="AM209" i="162"/>
  <c r="AO209" i="162" s="1"/>
  <c r="AO453" i="162"/>
  <c r="AM110" i="162"/>
  <c r="AO110" i="162" s="1"/>
  <c r="U229" i="143"/>
  <c r="U173" i="143"/>
  <c r="U181" i="143"/>
  <c r="U183" i="143"/>
  <c r="U166" i="143"/>
  <c r="AO348" i="162"/>
  <c r="U67" i="143"/>
  <c r="AM58" i="162"/>
  <c r="AO58" i="162" s="1"/>
  <c r="AN109" i="162"/>
  <c r="U143" i="143"/>
  <c r="AN2" i="162"/>
  <c r="AN123" i="162"/>
  <c r="AM158" i="162"/>
  <c r="AM123" i="162"/>
  <c r="AM109" i="162"/>
  <c r="AO83" i="162"/>
  <c r="AO70" i="162"/>
  <c r="AM48" i="162"/>
  <c r="AO9" i="162"/>
  <c r="AO153" i="162"/>
  <c r="AO25" i="162"/>
  <c r="AN4" i="162"/>
  <c r="AN12" i="162"/>
  <c r="AN31" i="162"/>
  <c r="AN46" i="162"/>
  <c r="AN65" i="162"/>
  <c r="AN97" i="162"/>
  <c r="AN153" i="162"/>
  <c r="AN170" i="162"/>
  <c r="W173" i="143" s="1"/>
  <c r="AN196" i="162"/>
  <c r="W181" i="143" s="1"/>
  <c r="AN310" i="162"/>
  <c r="AN344" i="162"/>
  <c r="AN386" i="162"/>
  <c r="AN400" i="162"/>
  <c r="AN6" i="162"/>
  <c r="AN29" i="162"/>
  <c r="AN41" i="162"/>
  <c r="AN56" i="162"/>
  <c r="AN125" i="162"/>
  <c r="AN112" i="162"/>
  <c r="AN209" i="162"/>
  <c r="W183" i="143" s="1"/>
  <c r="AN160" i="162"/>
  <c r="AN204" i="162"/>
  <c r="AN244" i="162"/>
  <c r="AN293" i="162"/>
  <c r="AN306" i="162"/>
  <c r="AN331" i="162"/>
  <c r="AN346" i="162"/>
  <c r="AN361" i="162"/>
  <c r="AN474" i="162"/>
  <c r="AO288" i="162"/>
  <c r="AO310" i="162"/>
  <c r="AN8" i="162"/>
  <c r="AN27" i="162"/>
  <c r="AN39" i="162"/>
  <c r="AN50" i="162"/>
  <c r="AN103" i="162"/>
  <c r="AN158" i="162"/>
  <c r="AN164" i="162"/>
  <c r="W166" i="143" s="1"/>
  <c r="AN178" i="162"/>
  <c r="AN291" i="162"/>
  <c r="AN335" i="162"/>
  <c r="AN359" i="162"/>
  <c r="AN390" i="162"/>
  <c r="AN25" i="162"/>
  <c r="AN36" i="162"/>
  <c r="AN48" i="162"/>
  <c r="AN69" i="162"/>
  <c r="AN83" i="162"/>
  <c r="AN140" i="162"/>
  <c r="W153" i="143" s="1"/>
  <c r="AN223" i="162"/>
  <c r="AN194" i="162"/>
  <c r="AN241" i="162"/>
  <c r="AN285" i="162"/>
  <c r="AN303" i="162"/>
  <c r="AN328" i="162"/>
  <c r="W229" i="143" s="1"/>
  <c r="AN339" i="162"/>
  <c r="AN352" i="162"/>
  <c r="AN381" i="162"/>
  <c r="AM474" i="162"/>
  <c r="AM400" i="162"/>
  <c r="AM381" i="162"/>
  <c r="AM361" i="162"/>
  <c r="AM380" i="162" s="1"/>
  <c r="AM359" i="162"/>
  <c r="AM352" i="162"/>
  <c r="AM344" i="162"/>
  <c r="AM339" i="162"/>
  <c r="AM335" i="162"/>
  <c r="AM331" i="162"/>
  <c r="AM328" i="162"/>
  <c r="AM306" i="162"/>
  <c r="AM303" i="162"/>
  <c r="AM293" i="162"/>
  <c r="AM291" i="162"/>
  <c r="AM285" i="162"/>
  <c r="AM244" i="162"/>
  <c r="AM241" i="162"/>
  <c r="AM223" i="162"/>
  <c r="AM210" i="162"/>
  <c r="AM204" i="162"/>
  <c r="AM196" i="162"/>
  <c r="AM194" i="162"/>
  <c r="AM178" i="162"/>
  <c r="AM170" i="162"/>
  <c r="AM165" i="162"/>
  <c r="AM160" i="162"/>
  <c r="AM140" i="162"/>
  <c r="AM125" i="162"/>
  <c r="AM112" i="162"/>
  <c r="AM103" i="162"/>
  <c r="AM97" i="162"/>
  <c r="AM65" i="162"/>
  <c r="AM56" i="162"/>
  <c r="AM50" i="162"/>
  <c r="AM46" i="162"/>
  <c r="AM39" i="162"/>
  <c r="AM36" i="162"/>
  <c r="AM31" i="162"/>
  <c r="AM29" i="162"/>
  <c r="AM12" i="162"/>
  <c r="AM8" i="162"/>
  <c r="AM4" i="162"/>
  <c r="Q410" i="143"/>
  <c r="Q380" i="143"/>
  <c r="Q375" i="143"/>
  <c r="Q370" i="143"/>
  <c r="Q366" i="143"/>
  <c r="Q327" i="143"/>
  <c r="Q314" i="143"/>
  <c r="Q301" i="143"/>
  <c r="Q279" i="143"/>
  <c r="Q117" i="143"/>
  <c r="Q61" i="143"/>
  <c r="N40" i="139" s="1"/>
  <c r="Q56" i="143"/>
  <c r="W16" i="143"/>
  <c r="Q272" i="142"/>
  <c r="Q256" i="142"/>
  <c r="Q264" i="142" s="1"/>
  <c r="Q246" i="142"/>
  <c r="Q240" i="142"/>
  <c r="Q227" i="142"/>
  <c r="Q176" i="142"/>
  <c r="Q170" i="142"/>
  <c r="Q162" i="142"/>
  <c r="Q158" i="142"/>
  <c r="Q149" i="142"/>
  <c r="Q127" i="142"/>
  <c r="Q121" i="142"/>
  <c r="Q118" i="142"/>
  <c r="Q89" i="142"/>
  <c r="Q51" i="142"/>
  <c r="Q43" i="142"/>
  <c r="Q39" i="142"/>
  <c r="Q32" i="142"/>
  <c r="Q59" i="142" s="1"/>
  <c r="Q22" i="142"/>
  <c r="Q9" i="142"/>
  <c r="Q6" i="142"/>
  <c r="R192" i="143"/>
  <c r="R191" i="143"/>
  <c r="R190" i="143"/>
  <c r="P20" i="108"/>
  <c r="Q20" i="108"/>
  <c r="R20" i="108"/>
  <c r="N48" i="139"/>
  <c r="P48" i="108" s="1"/>
  <c r="O48" i="139"/>
  <c r="Q48" i="108" s="1"/>
  <c r="P48" i="139"/>
  <c r="R48" i="108" s="1"/>
  <c r="N46" i="139"/>
  <c r="P46" i="108" s="1"/>
  <c r="O46" i="139"/>
  <c r="Q46" i="108" s="1"/>
  <c r="P46" i="139"/>
  <c r="R46" i="108" s="1"/>
  <c r="N45" i="139"/>
  <c r="P45" i="108" s="1"/>
  <c r="O45" i="139"/>
  <c r="Q45" i="108" s="1"/>
  <c r="P45" i="139"/>
  <c r="R45" i="108" s="1"/>
  <c r="N43" i="139"/>
  <c r="P43" i="108" s="1"/>
  <c r="O43" i="139"/>
  <c r="Q43" i="108" s="1"/>
  <c r="P43" i="139"/>
  <c r="R43" i="108" s="1"/>
  <c r="N39" i="139"/>
  <c r="P39" i="108" s="1"/>
  <c r="N25" i="139"/>
  <c r="P26" i="108" s="1"/>
  <c r="O25" i="139"/>
  <c r="Q26" i="108" s="1"/>
  <c r="P25" i="139"/>
  <c r="R26" i="108" s="1"/>
  <c r="N23" i="139"/>
  <c r="P24" i="108" s="1"/>
  <c r="O23" i="139"/>
  <c r="Q24" i="108" s="1"/>
  <c r="P23" i="139"/>
  <c r="R24" i="108" s="1"/>
  <c r="N22" i="139"/>
  <c r="P23" i="108" s="1"/>
  <c r="O22" i="139"/>
  <c r="Q23" i="108" s="1"/>
  <c r="P22" i="139"/>
  <c r="R23" i="108" s="1"/>
  <c r="N20" i="139"/>
  <c r="P21" i="108" s="1"/>
  <c r="O20" i="139"/>
  <c r="Q21" i="108" s="1"/>
  <c r="P20" i="139"/>
  <c r="R21" i="108" s="1"/>
  <c r="P17" i="108"/>
  <c r="Q17" i="108"/>
  <c r="R17" i="108"/>
  <c r="N16" i="139"/>
  <c r="P18" i="108" s="1"/>
  <c r="Q18" i="108"/>
  <c r="R18" i="108"/>
  <c r="N15" i="139"/>
  <c r="P16" i="108" s="1"/>
  <c r="O15" i="139"/>
  <c r="P15" i="139"/>
  <c r="R16" i="108" s="1"/>
  <c r="N14" i="139"/>
  <c r="P15" i="108" s="1"/>
  <c r="O14" i="139"/>
  <c r="Q15" i="108" s="1"/>
  <c r="P14" i="139"/>
  <c r="R15" i="108" s="1"/>
  <c r="P9" i="108"/>
  <c r="Q9" i="108"/>
  <c r="R9" i="108"/>
  <c r="N8" i="139"/>
  <c r="P8" i="108" s="1"/>
  <c r="P8" i="139"/>
  <c r="N31" i="139" l="1"/>
  <c r="P31" i="108" s="1"/>
  <c r="AR9" i="162"/>
  <c r="R220" i="143"/>
  <c r="S220" i="143" s="1"/>
  <c r="S219" i="143"/>
  <c r="Q255" i="143"/>
  <c r="AM11" i="162"/>
  <c r="R18" i="143" s="1"/>
  <c r="S18" i="143" s="1"/>
  <c r="N42" i="139"/>
  <c r="P42" i="108" s="1"/>
  <c r="Q35" i="143"/>
  <c r="Q11" i="142"/>
  <c r="Q24" i="142" s="1"/>
  <c r="N10" i="139"/>
  <c r="P11" i="108" s="1"/>
  <c r="AL492" i="162"/>
  <c r="AI492" i="162"/>
  <c r="AM3" i="162"/>
  <c r="AM487" i="162"/>
  <c r="R416" i="143" s="1"/>
  <c r="S416" i="143" s="1"/>
  <c r="AM385" i="162"/>
  <c r="R292" i="143" s="1"/>
  <c r="S292" i="143" s="1"/>
  <c r="R283" i="143"/>
  <c r="S283" i="143" s="1"/>
  <c r="AM360" i="162"/>
  <c r="R273" i="143" s="1"/>
  <c r="AM358" i="162"/>
  <c r="R263" i="143" s="1"/>
  <c r="S263" i="143" s="1"/>
  <c r="AM345" i="162"/>
  <c r="R251" i="143" s="1"/>
  <c r="S251" i="143" s="1"/>
  <c r="AM343" i="162"/>
  <c r="R245" i="143" s="1"/>
  <c r="S245" i="143" s="1"/>
  <c r="AM338" i="162"/>
  <c r="R244" i="143" s="1"/>
  <c r="S244" i="143" s="1"/>
  <c r="AM334" i="162"/>
  <c r="R236" i="143" s="1"/>
  <c r="AM330" i="162"/>
  <c r="R229" i="143" s="1"/>
  <c r="S229" i="143" s="1"/>
  <c r="AM308" i="162"/>
  <c r="R218" i="143" s="1"/>
  <c r="S218" i="143" s="1"/>
  <c r="AM305" i="162"/>
  <c r="R214" i="143" s="1"/>
  <c r="S214" i="143" s="1"/>
  <c r="AM302" i="162"/>
  <c r="R205" i="143" s="1"/>
  <c r="S205" i="143" s="1"/>
  <c r="AM292" i="162"/>
  <c r="R203" i="143" s="1"/>
  <c r="S203" i="143" s="1"/>
  <c r="AM286" i="162"/>
  <c r="R200" i="143" s="1"/>
  <c r="S200" i="143" s="1"/>
  <c r="AM261" i="162"/>
  <c r="R188" i="143" s="1"/>
  <c r="S188" i="143" s="1"/>
  <c r="AM243" i="162"/>
  <c r="R185" i="143" s="1"/>
  <c r="S185" i="143" s="1"/>
  <c r="AM240" i="162"/>
  <c r="R184" i="143" s="1"/>
  <c r="S184" i="143" s="1"/>
  <c r="AM222" i="162"/>
  <c r="R183" i="143" s="1"/>
  <c r="S183" i="143" s="1"/>
  <c r="AM208" i="162"/>
  <c r="R182" i="143" s="1"/>
  <c r="S182" i="143" s="1"/>
  <c r="AM63" i="162"/>
  <c r="R100" i="143" s="1"/>
  <c r="AM203" i="162"/>
  <c r="R181" i="143" s="1"/>
  <c r="S181" i="143" s="1"/>
  <c r="AM195" i="162"/>
  <c r="R175" i="143" s="1"/>
  <c r="S175" i="143" s="1"/>
  <c r="AM193" i="162"/>
  <c r="R174" i="143" s="1"/>
  <c r="S174" i="143" s="1"/>
  <c r="AM177" i="162"/>
  <c r="R173" i="143" s="1"/>
  <c r="S173" i="143" s="1"/>
  <c r="AM169" i="162"/>
  <c r="R166" i="143" s="1"/>
  <c r="S166" i="143" s="1"/>
  <c r="AM163" i="162"/>
  <c r="R163" i="143" s="1"/>
  <c r="S163" i="143" s="1"/>
  <c r="AM145" i="162"/>
  <c r="R153" i="143" s="1"/>
  <c r="AM133" i="162"/>
  <c r="R144" i="143" s="1"/>
  <c r="S144" i="143" s="1"/>
  <c r="AM122" i="162"/>
  <c r="R143" i="143" s="1"/>
  <c r="S143" i="143" s="1"/>
  <c r="AM106" i="162"/>
  <c r="R142" i="143" s="1"/>
  <c r="S142" i="143" s="1"/>
  <c r="AM100" i="162"/>
  <c r="R140" i="143" s="1"/>
  <c r="AM68" i="162"/>
  <c r="R125" i="143" s="1"/>
  <c r="AM53" i="162"/>
  <c r="R91" i="143" s="1"/>
  <c r="AM49" i="162"/>
  <c r="R81" i="143" s="1"/>
  <c r="AM47" i="162"/>
  <c r="R76" i="143" s="1"/>
  <c r="S76" i="143" s="1"/>
  <c r="AM43" i="162"/>
  <c r="R71" i="143" s="1"/>
  <c r="S71" i="143" s="1"/>
  <c r="AM40" i="162"/>
  <c r="R68" i="143" s="1"/>
  <c r="S68" i="143" s="1"/>
  <c r="AM38" i="162"/>
  <c r="R67" i="143" s="1"/>
  <c r="S67" i="143" s="1"/>
  <c r="AM35" i="162"/>
  <c r="R42" i="143" s="1"/>
  <c r="S42" i="143" s="1"/>
  <c r="AM30" i="162"/>
  <c r="R40" i="143" s="1"/>
  <c r="S40" i="143" s="1"/>
  <c r="AM28" i="162"/>
  <c r="R37" i="143" s="1"/>
  <c r="AM23" i="162"/>
  <c r="R26" i="143" s="1"/>
  <c r="S26" i="143" s="1"/>
  <c r="AM5" i="162"/>
  <c r="R14" i="143" s="1"/>
  <c r="S14" i="143" s="1"/>
  <c r="W67" i="143"/>
  <c r="V173" i="143"/>
  <c r="V229" i="143"/>
  <c r="V231" i="143" s="1"/>
  <c r="V67" i="143"/>
  <c r="V79" i="143" s="1"/>
  <c r="V153" i="143"/>
  <c r="V166" i="143"/>
  <c r="V181" i="143"/>
  <c r="V183" i="143"/>
  <c r="AO158" i="162"/>
  <c r="AO123" i="162"/>
  <c r="AO109" i="162"/>
  <c r="AO2" i="162"/>
  <c r="Q51" i="143"/>
  <c r="Q420" i="143"/>
  <c r="Q422" i="143" s="1"/>
  <c r="Q231" i="143"/>
  <c r="AO381" i="162"/>
  <c r="AO391" i="162"/>
  <c r="AO474" i="162"/>
  <c r="AO361" i="162"/>
  <c r="AO386" i="162"/>
  <c r="AO400" i="162"/>
  <c r="T27" i="143"/>
  <c r="T35" i="143" s="1"/>
  <c r="AO48" i="162"/>
  <c r="AO4" i="162"/>
  <c r="AO8" i="162"/>
  <c r="AO112" i="162"/>
  <c r="AO140" i="162"/>
  <c r="AO223" i="162"/>
  <c r="AO331" i="162"/>
  <c r="AO339" i="162"/>
  <c r="AO346" i="162"/>
  <c r="AO359" i="162"/>
  <c r="AO27" i="162"/>
  <c r="AO31" i="162"/>
  <c r="AO39" i="162"/>
  <c r="AO46" i="162"/>
  <c r="AO50" i="162"/>
  <c r="AO65" i="162"/>
  <c r="AO165" i="162"/>
  <c r="AO178" i="162"/>
  <c r="AO196" i="162"/>
  <c r="AO291" i="162"/>
  <c r="AO303" i="162"/>
  <c r="AO12" i="162"/>
  <c r="AO103" i="162"/>
  <c r="AO125" i="162"/>
  <c r="AO210" i="162"/>
  <c r="AO241" i="162"/>
  <c r="AO328" i="162"/>
  <c r="AO335" i="162"/>
  <c r="AO344" i="162"/>
  <c r="AO352" i="162"/>
  <c r="S269" i="143" s="1"/>
  <c r="AO29" i="162"/>
  <c r="AO36" i="162"/>
  <c r="AO41" i="162"/>
  <c r="AO56" i="162"/>
  <c r="AO69" i="162"/>
  <c r="AO97" i="162"/>
  <c r="AO160" i="162"/>
  <c r="AO170" i="162"/>
  <c r="AO194" i="162"/>
  <c r="AO204" i="162"/>
  <c r="AO285" i="162"/>
  <c r="AO293" i="162"/>
  <c r="AO306" i="162"/>
  <c r="Q164" i="142"/>
  <c r="Q281" i="143"/>
  <c r="Q242" i="142"/>
  <c r="N13" i="139" s="1"/>
  <c r="P14" i="108" s="1"/>
  <c r="Q151" i="142"/>
  <c r="N12" i="139" s="1"/>
  <c r="N7" i="139"/>
  <c r="P7" i="108" s="1"/>
  <c r="Q16" i="108"/>
  <c r="P40" i="108"/>
  <c r="P41" i="108" s="1"/>
  <c r="N41" i="139"/>
  <c r="R8" i="108"/>
  <c r="Q8" i="108"/>
  <c r="M43" i="139"/>
  <c r="O43" i="108" s="1"/>
  <c r="O20" i="108"/>
  <c r="N20" i="108"/>
  <c r="I48" i="139"/>
  <c r="N48" i="108" s="1"/>
  <c r="J48" i="139"/>
  <c r="K48" i="139"/>
  <c r="L48" i="139"/>
  <c r="M48" i="139"/>
  <c r="O48" i="108" s="1"/>
  <c r="I46" i="139"/>
  <c r="N46" i="108" s="1"/>
  <c r="J46" i="139"/>
  <c r="K46" i="139"/>
  <c r="L46" i="139"/>
  <c r="M46" i="139"/>
  <c r="O46" i="108" s="1"/>
  <c r="I45" i="139"/>
  <c r="N45" i="108" s="1"/>
  <c r="J45" i="139"/>
  <c r="K45" i="139"/>
  <c r="L45" i="139"/>
  <c r="M45" i="139"/>
  <c r="O45" i="108" s="1"/>
  <c r="I43" i="139"/>
  <c r="N43" i="108" s="1"/>
  <c r="J43" i="139"/>
  <c r="K43" i="139"/>
  <c r="L43" i="139"/>
  <c r="I36" i="139"/>
  <c r="N36" i="108" s="1"/>
  <c r="J36" i="139"/>
  <c r="K36" i="139"/>
  <c r="L36" i="139"/>
  <c r="M36" i="139"/>
  <c r="O36" i="108" s="1"/>
  <c r="I25" i="139"/>
  <c r="N26" i="108" s="1"/>
  <c r="J25" i="139"/>
  <c r="M25" i="139"/>
  <c r="O26" i="108" s="1"/>
  <c r="M23" i="139"/>
  <c r="J23" i="139"/>
  <c r="K23" i="139"/>
  <c r="I22" i="139"/>
  <c r="N23" i="108" s="1"/>
  <c r="J22" i="139"/>
  <c r="M22" i="139"/>
  <c r="O23" i="108" s="1"/>
  <c r="I20" i="139"/>
  <c r="N21" i="108" s="1"/>
  <c r="J20" i="139"/>
  <c r="M20" i="139"/>
  <c r="O21" i="108" s="1"/>
  <c r="M17" i="139"/>
  <c r="O17" i="108" s="1"/>
  <c r="J17" i="139"/>
  <c r="K17" i="139"/>
  <c r="I16" i="139"/>
  <c r="N18" i="108" s="1"/>
  <c r="J16" i="139"/>
  <c r="M16" i="139"/>
  <c r="O18" i="108" s="1"/>
  <c r="I15" i="139"/>
  <c r="N16" i="108" s="1"/>
  <c r="M15" i="139"/>
  <c r="O16" i="108" s="1"/>
  <c r="I14" i="139"/>
  <c r="N15" i="108" s="1"/>
  <c r="M14" i="139"/>
  <c r="O15" i="108" s="1"/>
  <c r="I9" i="139"/>
  <c r="J9" i="139"/>
  <c r="O9" i="108"/>
  <c r="I8" i="139"/>
  <c r="N8" i="108" s="1"/>
  <c r="J8" i="139"/>
  <c r="M8" i="139"/>
  <c r="O8" i="108" s="1"/>
  <c r="L272" i="142"/>
  <c r="M272" i="142"/>
  <c r="P272" i="142"/>
  <c r="R272" i="142"/>
  <c r="S272" i="142"/>
  <c r="L262" i="142"/>
  <c r="M262" i="142"/>
  <c r="P262" i="142"/>
  <c r="R262" i="142"/>
  <c r="S262" i="142"/>
  <c r="L256" i="142"/>
  <c r="M256" i="142"/>
  <c r="P256" i="142"/>
  <c r="L246" i="142"/>
  <c r="M246" i="142"/>
  <c r="P246" i="142"/>
  <c r="R246" i="142"/>
  <c r="S246" i="142"/>
  <c r="L240" i="142"/>
  <c r="M240" i="142"/>
  <c r="P240" i="142"/>
  <c r="R240" i="142"/>
  <c r="S240" i="142"/>
  <c r="L237" i="142"/>
  <c r="M237" i="142"/>
  <c r="P237" i="142"/>
  <c r="L227" i="142"/>
  <c r="M227" i="142"/>
  <c r="P227" i="142"/>
  <c r="L214" i="142"/>
  <c r="M214" i="142"/>
  <c r="P214" i="142"/>
  <c r="L200" i="142"/>
  <c r="M200" i="142"/>
  <c r="P200" i="142"/>
  <c r="S200" i="142"/>
  <c r="L188" i="142"/>
  <c r="M188" i="142"/>
  <c r="P188" i="142"/>
  <c r="L176" i="142"/>
  <c r="M176" i="142"/>
  <c r="P176" i="142"/>
  <c r="R176" i="142"/>
  <c r="S176" i="142"/>
  <c r="R170" i="142"/>
  <c r="S170" i="142"/>
  <c r="L162" i="142"/>
  <c r="M162" i="142"/>
  <c r="P162" i="142"/>
  <c r="R162" i="142"/>
  <c r="S162" i="142"/>
  <c r="L158" i="142"/>
  <c r="P158" i="142"/>
  <c r="R158" i="142"/>
  <c r="S158" i="142"/>
  <c r="L149" i="142"/>
  <c r="P149" i="142"/>
  <c r="R149" i="142"/>
  <c r="S149" i="142"/>
  <c r="L127" i="142"/>
  <c r="M127" i="142"/>
  <c r="P127" i="142"/>
  <c r="R127" i="142"/>
  <c r="S127" i="142"/>
  <c r="L121" i="142"/>
  <c r="M121" i="142"/>
  <c r="P121" i="142"/>
  <c r="R121" i="142"/>
  <c r="S121" i="142"/>
  <c r="L89" i="142"/>
  <c r="P89" i="142"/>
  <c r="R89" i="142"/>
  <c r="S89" i="142"/>
  <c r="L67" i="142"/>
  <c r="L51" i="142"/>
  <c r="M51" i="142"/>
  <c r="P51" i="142"/>
  <c r="R51" i="142"/>
  <c r="S51" i="142"/>
  <c r="L43" i="142"/>
  <c r="M43" i="142"/>
  <c r="P43" i="142"/>
  <c r="R43" i="142"/>
  <c r="S43" i="142"/>
  <c r="L39" i="142"/>
  <c r="M39" i="142"/>
  <c r="P39" i="142"/>
  <c r="R39" i="142"/>
  <c r="S39" i="142"/>
  <c r="L32" i="142"/>
  <c r="M32" i="142"/>
  <c r="P32" i="142"/>
  <c r="R32" i="142"/>
  <c r="R59" i="142" s="1"/>
  <c r="S32" i="142"/>
  <c r="L22" i="142"/>
  <c r="P22" i="142"/>
  <c r="R22" i="142"/>
  <c r="L9" i="142"/>
  <c r="M9" i="142"/>
  <c r="P9" i="142"/>
  <c r="R9" i="142"/>
  <c r="S9" i="142"/>
  <c r="L6" i="142"/>
  <c r="I7" i="139" s="1"/>
  <c r="N7" i="108" s="1"/>
  <c r="M6" i="142"/>
  <c r="J7" i="139" s="1"/>
  <c r="O6" i="142"/>
  <c r="L7" i="139" s="1"/>
  <c r="P6" i="142"/>
  <c r="M7" i="139" s="1"/>
  <c r="Q7" i="108"/>
  <c r="L420" i="143"/>
  <c r="T420" i="143"/>
  <c r="U420" i="143"/>
  <c r="V420" i="143"/>
  <c r="X420" i="143"/>
  <c r="Y420" i="143"/>
  <c r="Z420" i="143"/>
  <c r="AA420" i="143"/>
  <c r="AB420" i="143"/>
  <c r="P420" i="143"/>
  <c r="L410" i="143"/>
  <c r="M410" i="143"/>
  <c r="M420" i="143" s="1"/>
  <c r="N410" i="143"/>
  <c r="N420" i="143" s="1"/>
  <c r="O410" i="143"/>
  <c r="O420" i="143" s="1"/>
  <c r="T410" i="143"/>
  <c r="U410" i="143"/>
  <c r="V410" i="143"/>
  <c r="W410" i="143"/>
  <c r="X410" i="143"/>
  <c r="Y410" i="143"/>
  <c r="Z410" i="143"/>
  <c r="AA410" i="143"/>
  <c r="AB410" i="143"/>
  <c r="P410" i="143"/>
  <c r="R410" i="143"/>
  <c r="P19" i="141" s="1"/>
  <c r="S410" i="143"/>
  <c r="I39" i="139"/>
  <c r="J39" i="139"/>
  <c r="K39" i="139"/>
  <c r="L39" i="139"/>
  <c r="T399" i="143"/>
  <c r="U399" i="143"/>
  <c r="V399" i="143"/>
  <c r="W399" i="143"/>
  <c r="X399" i="143"/>
  <c r="Y399" i="143"/>
  <c r="Z399" i="143"/>
  <c r="AA399" i="143"/>
  <c r="AB399" i="143"/>
  <c r="M39" i="139"/>
  <c r="O39" i="108" s="1"/>
  <c r="O39" i="139"/>
  <c r="Q39" i="108" s="1"/>
  <c r="P39" i="139"/>
  <c r="R39" i="108" s="1"/>
  <c r="L394" i="143"/>
  <c r="M394" i="143"/>
  <c r="N394" i="143"/>
  <c r="N422" i="143" s="1"/>
  <c r="O394" i="143"/>
  <c r="T394" i="143"/>
  <c r="U394" i="143"/>
  <c r="V394" i="143"/>
  <c r="X394" i="143"/>
  <c r="Z394" i="143"/>
  <c r="AA394" i="143"/>
  <c r="AB394" i="143"/>
  <c r="P394" i="143"/>
  <c r="R394" i="143"/>
  <c r="S394" i="143"/>
  <c r="L380" i="143"/>
  <c r="M380" i="143"/>
  <c r="N380" i="143"/>
  <c r="O380" i="143"/>
  <c r="T380" i="143"/>
  <c r="U380" i="143"/>
  <c r="V380" i="143"/>
  <c r="W380" i="143"/>
  <c r="X380" i="143"/>
  <c r="Y380" i="143"/>
  <c r="Z380" i="143"/>
  <c r="AA380" i="143"/>
  <c r="AB380" i="143"/>
  <c r="P380" i="143"/>
  <c r="R380" i="143"/>
  <c r="S380" i="143"/>
  <c r="L375" i="143"/>
  <c r="M375" i="143"/>
  <c r="N375" i="143"/>
  <c r="O375" i="143"/>
  <c r="T375" i="143"/>
  <c r="U375" i="143"/>
  <c r="V375" i="143"/>
  <c r="W375" i="143"/>
  <c r="X375" i="143"/>
  <c r="Y375" i="143"/>
  <c r="Z375" i="143"/>
  <c r="AA375" i="143"/>
  <c r="AB375" i="143"/>
  <c r="P375" i="143"/>
  <c r="R375" i="143"/>
  <c r="S375" i="143"/>
  <c r="L370" i="143"/>
  <c r="M370" i="143"/>
  <c r="N370" i="143"/>
  <c r="O370" i="143"/>
  <c r="T370" i="143"/>
  <c r="U370" i="143"/>
  <c r="V370" i="143"/>
  <c r="X370" i="143"/>
  <c r="Y370" i="143"/>
  <c r="Z370" i="143"/>
  <c r="AA370" i="143"/>
  <c r="AB370" i="143"/>
  <c r="P370" i="143"/>
  <c r="R370" i="143"/>
  <c r="S370" i="143"/>
  <c r="L366" i="143"/>
  <c r="M366" i="143"/>
  <c r="N366" i="143"/>
  <c r="O366" i="143"/>
  <c r="T366" i="143"/>
  <c r="U366" i="143"/>
  <c r="V366" i="143"/>
  <c r="W366" i="143"/>
  <c r="X366" i="143"/>
  <c r="Y366" i="143"/>
  <c r="Z366" i="143"/>
  <c r="AA366" i="143"/>
  <c r="AB366" i="143"/>
  <c r="P366" i="143"/>
  <c r="L357" i="143"/>
  <c r="M357" i="143"/>
  <c r="N357" i="143"/>
  <c r="O357" i="143"/>
  <c r="T357" i="143"/>
  <c r="U357" i="143"/>
  <c r="V357" i="143"/>
  <c r="W357" i="143"/>
  <c r="X357" i="143"/>
  <c r="Y357" i="143"/>
  <c r="Z357" i="143"/>
  <c r="AA357" i="143"/>
  <c r="AB357" i="143"/>
  <c r="P357" i="143"/>
  <c r="L345" i="143"/>
  <c r="M345" i="143"/>
  <c r="N345" i="143"/>
  <c r="O345" i="143"/>
  <c r="T345" i="143"/>
  <c r="U345" i="143"/>
  <c r="V345" i="143"/>
  <c r="X345" i="143"/>
  <c r="Y345" i="143"/>
  <c r="Z345" i="143"/>
  <c r="AA345" i="143"/>
  <c r="AB345" i="143"/>
  <c r="P345" i="143"/>
  <c r="R345" i="143"/>
  <c r="L327" i="143"/>
  <c r="M327" i="143"/>
  <c r="N327" i="143"/>
  <c r="O327" i="143"/>
  <c r="T327" i="143"/>
  <c r="U327" i="143"/>
  <c r="V327" i="143"/>
  <c r="W327" i="143"/>
  <c r="X327" i="143"/>
  <c r="Y327" i="143"/>
  <c r="Z327" i="143"/>
  <c r="AA327" i="143"/>
  <c r="AB327" i="143"/>
  <c r="P327" i="143"/>
  <c r="R327" i="143"/>
  <c r="S327" i="143"/>
  <c r="L314" i="143"/>
  <c r="M314" i="143"/>
  <c r="N314" i="143"/>
  <c r="O314" i="143"/>
  <c r="T314" i="143"/>
  <c r="U314" i="143"/>
  <c r="V314" i="143"/>
  <c r="W314" i="143"/>
  <c r="X314" i="143"/>
  <c r="Y314" i="143"/>
  <c r="Z314" i="143"/>
  <c r="AA314" i="143"/>
  <c r="AB314" i="143"/>
  <c r="P314" i="143"/>
  <c r="R314" i="143"/>
  <c r="S314" i="143"/>
  <c r="L301" i="143"/>
  <c r="M301" i="143"/>
  <c r="N301" i="143"/>
  <c r="O301" i="143"/>
  <c r="T301" i="143"/>
  <c r="U301" i="143"/>
  <c r="V301" i="143"/>
  <c r="W301" i="143"/>
  <c r="X301" i="143"/>
  <c r="Y301" i="143"/>
  <c r="Z301" i="143"/>
  <c r="AA301" i="143"/>
  <c r="AB301" i="143"/>
  <c r="P301" i="143"/>
  <c r="R301" i="143"/>
  <c r="S301" i="143"/>
  <c r="N294" i="143"/>
  <c r="T294" i="143"/>
  <c r="U294" i="143"/>
  <c r="V294" i="143"/>
  <c r="X294" i="143"/>
  <c r="Y294" i="143"/>
  <c r="Z294" i="143"/>
  <c r="AA294" i="143"/>
  <c r="AB294" i="143"/>
  <c r="L279" i="143"/>
  <c r="M279" i="143"/>
  <c r="N279" i="143"/>
  <c r="O279" i="143"/>
  <c r="T279" i="143"/>
  <c r="U279" i="143"/>
  <c r="V279" i="143"/>
  <c r="W279" i="143"/>
  <c r="X279" i="143"/>
  <c r="Y279" i="143"/>
  <c r="Z279" i="143"/>
  <c r="AA279" i="143"/>
  <c r="AB279" i="143"/>
  <c r="P279" i="143"/>
  <c r="R279" i="143"/>
  <c r="S279" i="143"/>
  <c r="L274" i="143"/>
  <c r="L281" i="143" s="1"/>
  <c r="L294" i="143" s="1"/>
  <c r="M274" i="143"/>
  <c r="N274" i="143"/>
  <c r="N281" i="143" s="1"/>
  <c r="O274" i="143"/>
  <c r="O281" i="143" s="1"/>
  <c r="O294" i="143" s="1"/>
  <c r="T274" i="143"/>
  <c r="T281" i="143" s="1"/>
  <c r="U274" i="143"/>
  <c r="V274" i="143"/>
  <c r="V281" i="143" s="1"/>
  <c r="X274" i="143"/>
  <c r="Y274" i="143"/>
  <c r="Z274" i="143"/>
  <c r="AA274" i="143"/>
  <c r="AB274" i="143"/>
  <c r="P274" i="143"/>
  <c r="L269" i="143"/>
  <c r="M269" i="143"/>
  <c r="N269" i="143"/>
  <c r="O269" i="143"/>
  <c r="T269" i="143"/>
  <c r="U269" i="143"/>
  <c r="V269" i="143"/>
  <c r="X269" i="143"/>
  <c r="Y269" i="143"/>
  <c r="Z269" i="143"/>
  <c r="AA269" i="143"/>
  <c r="AB269" i="143"/>
  <c r="P269" i="143"/>
  <c r="T261" i="143"/>
  <c r="U261" i="143"/>
  <c r="V261" i="143"/>
  <c r="X261" i="143"/>
  <c r="Y261" i="143"/>
  <c r="Z261" i="143"/>
  <c r="AA261" i="143"/>
  <c r="AB261" i="143"/>
  <c r="T255" i="143"/>
  <c r="U255" i="143"/>
  <c r="V255" i="143"/>
  <c r="X255" i="143"/>
  <c r="Y255" i="143"/>
  <c r="Z255" i="143"/>
  <c r="AA255" i="143"/>
  <c r="AB255" i="143"/>
  <c r="L238" i="143"/>
  <c r="M238" i="143"/>
  <c r="N238" i="143"/>
  <c r="O238" i="143"/>
  <c r="T238" i="143"/>
  <c r="U238" i="143"/>
  <c r="V238" i="143"/>
  <c r="X238" i="143"/>
  <c r="Y238" i="143"/>
  <c r="Z238" i="143"/>
  <c r="AA238" i="143"/>
  <c r="AB238" i="143"/>
  <c r="P238" i="143"/>
  <c r="L231" i="143"/>
  <c r="I29" i="139" s="1"/>
  <c r="N29" i="108" s="1"/>
  <c r="N32" i="108" s="1"/>
  <c r="T231" i="143"/>
  <c r="U231" i="143"/>
  <c r="Z231" i="143"/>
  <c r="AA231" i="143"/>
  <c r="AB231" i="143"/>
  <c r="L198" i="143"/>
  <c r="M198" i="143"/>
  <c r="N198" i="143"/>
  <c r="O198" i="143"/>
  <c r="T198" i="143"/>
  <c r="U198" i="143"/>
  <c r="V198" i="143"/>
  <c r="X198" i="143"/>
  <c r="Y198" i="143"/>
  <c r="Z198" i="143"/>
  <c r="AA198" i="143"/>
  <c r="AB198" i="143"/>
  <c r="P198" i="143"/>
  <c r="R198" i="143"/>
  <c r="S198" i="143"/>
  <c r="L195" i="143"/>
  <c r="M195" i="143"/>
  <c r="M231" i="143" s="1"/>
  <c r="J29" i="139" s="1"/>
  <c r="N195" i="143"/>
  <c r="N231" i="143" s="1"/>
  <c r="K29" i="139" s="1"/>
  <c r="O195" i="143"/>
  <c r="O231" i="143" s="1"/>
  <c r="L29" i="139" s="1"/>
  <c r="T195" i="143"/>
  <c r="U195" i="143"/>
  <c r="V195" i="143"/>
  <c r="X195" i="143"/>
  <c r="Y195" i="143"/>
  <c r="Z195" i="143"/>
  <c r="AA195" i="143"/>
  <c r="AB195" i="143"/>
  <c r="P195" i="143"/>
  <c r="P231" i="143" s="1"/>
  <c r="M29" i="139" s="1"/>
  <c r="O29" i="108" s="1"/>
  <c r="T186" i="143"/>
  <c r="U186" i="143"/>
  <c r="Y186" i="143"/>
  <c r="Z186" i="143"/>
  <c r="AA186" i="143"/>
  <c r="AB186" i="143"/>
  <c r="U164" i="143"/>
  <c r="V164" i="143"/>
  <c r="X164" i="143"/>
  <c r="Z164" i="143"/>
  <c r="AA164" i="143"/>
  <c r="AB164" i="143"/>
  <c r="L134" i="143"/>
  <c r="M134" i="143"/>
  <c r="N134" i="143"/>
  <c r="O134" i="143"/>
  <c r="T134" i="143"/>
  <c r="U134" i="143"/>
  <c r="V134" i="143"/>
  <c r="X134" i="143"/>
  <c r="Z134" i="143"/>
  <c r="AA134" i="143"/>
  <c r="AB134" i="143"/>
  <c r="P134" i="143"/>
  <c r="T121" i="143"/>
  <c r="U121" i="143"/>
  <c r="V121" i="143"/>
  <c r="W121" i="143"/>
  <c r="X121" i="143"/>
  <c r="Y121" i="143"/>
  <c r="Z121" i="143"/>
  <c r="AA121" i="143"/>
  <c r="AB121" i="143"/>
  <c r="L117" i="143"/>
  <c r="M117" i="143"/>
  <c r="N117" i="143"/>
  <c r="O117" i="143"/>
  <c r="T117" i="143"/>
  <c r="U117" i="143"/>
  <c r="V117" i="143"/>
  <c r="W117" i="143"/>
  <c r="X117" i="143"/>
  <c r="Y117" i="143"/>
  <c r="Z117" i="143"/>
  <c r="AA117" i="143"/>
  <c r="AB117" i="143"/>
  <c r="P117" i="143"/>
  <c r="R117" i="143"/>
  <c r="S117" i="143"/>
  <c r="L113" i="143"/>
  <c r="M113" i="143"/>
  <c r="N113" i="143"/>
  <c r="O113" i="143"/>
  <c r="T113" i="143"/>
  <c r="U113" i="143"/>
  <c r="V113" i="143"/>
  <c r="X113" i="143"/>
  <c r="Y113" i="143"/>
  <c r="Z113" i="143"/>
  <c r="AA113" i="143"/>
  <c r="AB113" i="143"/>
  <c r="P113" i="143"/>
  <c r="L97" i="143"/>
  <c r="M97" i="143"/>
  <c r="N97" i="143"/>
  <c r="O97" i="143"/>
  <c r="U97" i="143"/>
  <c r="V97" i="143"/>
  <c r="X97" i="143"/>
  <c r="Z97" i="143"/>
  <c r="AA97" i="143"/>
  <c r="AB97" i="143"/>
  <c r="P97" i="143"/>
  <c r="L89" i="143"/>
  <c r="M89" i="143"/>
  <c r="N89" i="143"/>
  <c r="O89" i="143"/>
  <c r="T89" i="143"/>
  <c r="U89" i="143"/>
  <c r="V89" i="143"/>
  <c r="X89" i="143"/>
  <c r="Z89" i="143"/>
  <c r="AA89" i="143"/>
  <c r="AB89" i="143"/>
  <c r="P89" i="143"/>
  <c r="T79" i="143"/>
  <c r="U79" i="143"/>
  <c r="Z79" i="143"/>
  <c r="AA79" i="143"/>
  <c r="AB79" i="143"/>
  <c r="L61" i="143"/>
  <c r="M61" i="143"/>
  <c r="J40" i="139" s="1"/>
  <c r="N61" i="143"/>
  <c r="K40" i="139" s="1"/>
  <c r="O61" i="143"/>
  <c r="L40" i="139" s="1"/>
  <c r="T61" i="143"/>
  <c r="U61" i="143"/>
  <c r="V61" i="143"/>
  <c r="X61" i="143"/>
  <c r="Y61" i="143"/>
  <c r="Z61" i="143"/>
  <c r="AA61" i="143"/>
  <c r="AB61" i="143"/>
  <c r="P61" i="143"/>
  <c r="M40" i="139" s="1"/>
  <c r="O40" i="108" s="1"/>
  <c r="R61" i="143"/>
  <c r="O40" i="139" s="1"/>
  <c r="Q40" i="108" s="1"/>
  <c r="S61" i="143"/>
  <c r="P40" i="139" s="1"/>
  <c r="L56" i="143"/>
  <c r="I42" i="139" s="1"/>
  <c r="N42" i="108" s="1"/>
  <c r="M56" i="143"/>
  <c r="J42" i="139" s="1"/>
  <c r="N56" i="143"/>
  <c r="K42" i="139" s="1"/>
  <c r="O56" i="143"/>
  <c r="L42" i="139" s="1"/>
  <c r="T56" i="143"/>
  <c r="U56" i="143"/>
  <c r="V56" i="143"/>
  <c r="W56" i="143"/>
  <c r="X56" i="143"/>
  <c r="Y56" i="143"/>
  <c r="Z56" i="143"/>
  <c r="AA56" i="143"/>
  <c r="AB56" i="143"/>
  <c r="P56" i="143"/>
  <c r="M42" i="139" s="1"/>
  <c r="O42" i="108" s="1"/>
  <c r="R56" i="143"/>
  <c r="O42" i="139" s="1"/>
  <c r="Q42" i="108" s="1"/>
  <c r="S56" i="143"/>
  <c r="P42" i="139" s="1"/>
  <c r="R42" i="108" s="1"/>
  <c r="T51" i="143"/>
  <c r="U51" i="143"/>
  <c r="V51" i="143"/>
  <c r="X51" i="143"/>
  <c r="Z51" i="143"/>
  <c r="AA51" i="143"/>
  <c r="AB51" i="143"/>
  <c r="L35" i="143"/>
  <c r="L51" i="143" s="1"/>
  <c r="M35" i="143"/>
  <c r="M51" i="143" s="1"/>
  <c r="N35" i="143"/>
  <c r="N51" i="143" s="1"/>
  <c r="O35" i="143"/>
  <c r="O51" i="143" s="1"/>
  <c r="U35" i="143"/>
  <c r="V35" i="143"/>
  <c r="Z35" i="143"/>
  <c r="AA35" i="143"/>
  <c r="AB35" i="143"/>
  <c r="P35" i="143"/>
  <c r="P51" i="143" s="1"/>
  <c r="W18" i="143"/>
  <c r="R10" i="143" l="1"/>
  <c r="S10" i="143" s="1"/>
  <c r="AM492" i="162"/>
  <c r="P59" i="142"/>
  <c r="M59" i="142"/>
  <c r="P10" i="139"/>
  <c r="S59" i="142"/>
  <c r="L59" i="142"/>
  <c r="O10" i="139"/>
  <c r="P18" i="141"/>
  <c r="I31" i="139"/>
  <c r="N31" i="108" s="1"/>
  <c r="L422" i="143"/>
  <c r="P31" i="139"/>
  <c r="R31" i="108" s="1"/>
  <c r="J31" i="139"/>
  <c r="M422" i="143"/>
  <c r="P422" i="143"/>
  <c r="L31" i="139"/>
  <c r="O422" i="143"/>
  <c r="Q41" i="108"/>
  <c r="S242" i="142"/>
  <c r="P13" i="139" s="1"/>
  <c r="R14" i="108" s="1"/>
  <c r="R97" i="143"/>
  <c r="P17" i="141" s="1"/>
  <c r="S91" i="143"/>
  <c r="S97" i="143" s="1"/>
  <c r="R134" i="143"/>
  <c r="S125" i="143"/>
  <c r="S134" i="143" s="1"/>
  <c r="R113" i="143"/>
  <c r="S100" i="143"/>
  <c r="S113" i="143" s="1"/>
  <c r="R238" i="143"/>
  <c r="S236" i="143"/>
  <c r="S238" i="143" s="1"/>
  <c r="R155" i="143"/>
  <c r="S155" i="143" s="1"/>
  <c r="S140" i="143"/>
  <c r="S154" i="143"/>
  <c r="S153" i="143"/>
  <c r="R195" i="143"/>
  <c r="S195" i="143"/>
  <c r="R274" i="143"/>
  <c r="R281" i="143" s="1"/>
  <c r="R294" i="143" s="1"/>
  <c r="R372" i="143" s="1"/>
  <c r="S273" i="143"/>
  <c r="S274" i="143" s="1"/>
  <c r="S281" i="143" s="1"/>
  <c r="R89" i="143"/>
  <c r="S81" i="143"/>
  <c r="S89" i="143" s="1"/>
  <c r="R255" i="143"/>
  <c r="I10" i="139"/>
  <c r="N11" i="108" s="1"/>
  <c r="P7" i="139"/>
  <c r="R7" i="108" s="1"/>
  <c r="S11" i="142"/>
  <c r="S24" i="142" s="1"/>
  <c r="M10" i="139"/>
  <c r="M11" i="139" s="1"/>
  <c r="R11" i="108"/>
  <c r="R186" i="143"/>
  <c r="N79" i="143"/>
  <c r="R35" i="143"/>
  <c r="Q11" i="108"/>
  <c r="Q12" i="108" s="1"/>
  <c r="O31" i="139"/>
  <c r="Q31" i="108" s="1"/>
  <c r="R420" i="143"/>
  <c r="R422" i="143" s="1"/>
  <c r="R269" i="143"/>
  <c r="V186" i="143"/>
  <c r="V240" i="143" s="1"/>
  <c r="AA281" i="143"/>
  <c r="X422" i="143"/>
  <c r="J10" i="139"/>
  <c r="J11" i="139" s="1"/>
  <c r="X173" i="143"/>
  <c r="X181" i="143"/>
  <c r="X166" i="143"/>
  <c r="V143" i="143"/>
  <c r="X67" i="143"/>
  <c r="X79" i="143" s="1"/>
  <c r="X123" i="143" s="1"/>
  <c r="S231" i="143"/>
  <c r="X229" i="143"/>
  <c r="X183" i="143"/>
  <c r="X153" i="143"/>
  <c r="S420" i="143"/>
  <c r="S422" i="143" s="1"/>
  <c r="W143" i="143"/>
  <c r="Q63" i="143"/>
  <c r="Q79" i="143" s="1"/>
  <c r="Q123" i="143" s="1"/>
  <c r="Q164" i="143" s="1"/>
  <c r="S345" i="143"/>
  <c r="N29" i="139"/>
  <c r="P29" i="108" s="1"/>
  <c r="R51" i="143"/>
  <c r="S294" i="143"/>
  <c r="O36" i="139"/>
  <c r="Q36" i="108" s="1"/>
  <c r="T140" i="143"/>
  <c r="T164" i="143" s="1"/>
  <c r="T240" i="143" s="1"/>
  <c r="R231" i="143"/>
  <c r="T91" i="143"/>
  <c r="T97" i="143" s="1"/>
  <c r="T123" i="143" s="1"/>
  <c r="Q294" i="143"/>
  <c r="Q372" i="143" s="1"/>
  <c r="N36" i="139"/>
  <c r="P36" i="108" s="1"/>
  <c r="J41" i="139"/>
  <c r="Q248" i="142"/>
  <c r="Q274" i="142" s="1"/>
  <c r="P12" i="108"/>
  <c r="L164" i="142"/>
  <c r="M242" i="142"/>
  <c r="J13" i="139" s="1"/>
  <c r="AA372" i="143"/>
  <c r="M264" i="142"/>
  <c r="O63" i="143"/>
  <c r="O79" i="143" s="1"/>
  <c r="O123" i="143" s="1"/>
  <c r="O164" i="143" s="1"/>
  <c r="O186" i="143" s="1"/>
  <c r="AB123" i="143"/>
  <c r="Z281" i="143"/>
  <c r="L264" i="142"/>
  <c r="V63" i="143"/>
  <c r="P281" i="143"/>
  <c r="P294" i="143" s="1"/>
  <c r="P372" i="143" s="1"/>
  <c r="N18" i="139"/>
  <c r="P13" i="108"/>
  <c r="P19" i="108" s="1"/>
  <c r="P264" i="142"/>
  <c r="P164" i="142"/>
  <c r="U240" i="143"/>
  <c r="AB271" i="143"/>
  <c r="AA271" i="143"/>
  <c r="AA63" i="143"/>
  <c r="AA240" i="143"/>
  <c r="AB281" i="143"/>
  <c r="X281" i="143"/>
  <c r="T422" i="143"/>
  <c r="P242" i="142"/>
  <c r="M13" i="139" s="1"/>
  <c r="O14" i="108" s="1"/>
  <c r="L242" i="142"/>
  <c r="I13" i="139" s="1"/>
  <c r="N14" i="108" s="1"/>
  <c r="O41" i="139"/>
  <c r="U372" i="143"/>
  <c r="V422" i="143"/>
  <c r="R151" i="142"/>
  <c r="O12" i="139" s="1"/>
  <c r="L151" i="142"/>
  <c r="I12" i="139" s="1"/>
  <c r="N13" i="108" s="1"/>
  <c r="S151" i="142"/>
  <c r="P12" i="139" s="1"/>
  <c r="X271" i="143"/>
  <c r="AA422" i="143"/>
  <c r="M11" i="142"/>
  <c r="P151" i="142"/>
  <c r="M12" i="139" s="1"/>
  <c r="R242" i="142"/>
  <c r="O13" i="139" s="1"/>
  <c r="Q14" i="108" s="1"/>
  <c r="K31" i="139"/>
  <c r="N11" i="139"/>
  <c r="S164" i="142"/>
  <c r="R164" i="142"/>
  <c r="R11" i="142"/>
  <c r="R24" i="142" s="1"/>
  <c r="S264" i="142"/>
  <c r="R264" i="142"/>
  <c r="P41" i="139"/>
  <c r="R40" i="108"/>
  <c r="R41" i="108" s="1"/>
  <c r="P11" i="142"/>
  <c r="P24" i="142" s="1"/>
  <c r="L11" i="142"/>
  <c r="L24" i="142" s="1"/>
  <c r="L63" i="143"/>
  <c r="L79" i="143" s="1"/>
  <c r="L123" i="143" s="1"/>
  <c r="L164" i="143" s="1"/>
  <c r="K41" i="139"/>
  <c r="AB63" i="143"/>
  <c r="AA123" i="143"/>
  <c r="U271" i="143"/>
  <c r="Y281" i="143"/>
  <c r="O372" i="143"/>
  <c r="L37" i="139" s="1"/>
  <c r="L38" i="139" s="1"/>
  <c r="Z422" i="143"/>
  <c r="N39" i="108"/>
  <c r="T63" i="143"/>
  <c r="V271" i="143"/>
  <c r="Y372" i="143"/>
  <c r="U63" i="143"/>
  <c r="Y271" i="143"/>
  <c r="T271" i="143"/>
  <c r="L41" i="139"/>
  <c r="I40" i="139"/>
  <c r="N40" i="108" s="1"/>
  <c r="O41" i="108"/>
  <c r="M41" i="139"/>
  <c r="O7" i="108"/>
  <c r="M31" i="139"/>
  <c r="O31" i="108" s="1"/>
  <c r="I32" i="139"/>
  <c r="N9" i="108"/>
  <c r="O24" i="108"/>
  <c r="M63" i="143"/>
  <c r="M79" i="143" s="1"/>
  <c r="M123" i="143" s="1"/>
  <c r="M164" i="143" s="1"/>
  <c r="V123" i="143"/>
  <c r="N123" i="143"/>
  <c r="N164" i="143" s="1"/>
  <c r="N186" i="143" s="1"/>
  <c r="Z63" i="143"/>
  <c r="Z123" i="143"/>
  <c r="U123" i="143"/>
  <c r="Z240" i="143"/>
  <c r="U281" i="143"/>
  <c r="M281" i="143"/>
  <c r="M294" i="143" s="1"/>
  <c r="M372" i="143" s="1"/>
  <c r="J37" i="139" s="1"/>
  <c r="J38" i="139" s="1"/>
  <c r="Z372" i="143"/>
  <c r="V372" i="143"/>
  <c r="N372" i="143"/>
  <c r="K37" i="139" s="1"/>
  <c r="K38" i="139" s="1"/>
  <c r="AB422" i="143"/>
  <c r="AB240" i="143"/>
  <c r="Z271" i="143"/>
  <c r="AB372" i="143"/>
  <c r="X372" i="143"/>
  <c r="T372" i="143"/>
  <c r="L372" i="143"/>
  <c r="U422" i="143"/>
  <c r="N63" i="143"/>
  <c r="P63" i="143"/>
  <c r="P79" i="143" s="1"/>
  <c r="P123" i="143" s="1"/>
  <c r="P164" i="143" s="1"/>
  <c r="O128" i="142"/>
  <c r="O68" i="142"/>
  <c r="O7" i="142"/>
  <c r="O8" i="142"/>
  <c r="O10" i="142"/>
  <c r="O12" i="142"/>
  <c r="O13" i="142"/>
  <c r="O17" i="142" s="1"/>
  <c r="O23" i="142"/>
  <c r="O25" i="142"/>
  <c r="O27" i="142"/>
  <c r="O31" i="142"/>
  <c r="O33" i="142"/>
  <c r="O37" i="142"/>
  <c r="O38" i="142"/>
  <c r="O40" i="142"/>
  <c r="O42" i="142"/>
  <c r="O44" i="142"/>
  <c r="O45" i="142"/>
  <c r="O47" i="142"/>
  <c r="O48" i="142"/>
  <c r="O49" i="142"/>
  <c r="O58" i="142"/>
  <c r="O60" i="142"/>
  <c r="O65" i="142"/>
  <c r="O66" i="142"/>
  <c r="O69" i="142"/>
  <c r="O70" i="142"/>
  <c r="O71" i="142"/>
  <c r="O72" i="142"/>
  <c r="O73" i="142"/>
  <c r="O74" i="142"/>
  <c r="O75" i="142"/>
  <c r="O77" i="142"/>
  <c r="O78" i="142"/>
  <c r="O80" i="142"/>
  <c r="O81" i="142"/>
  <c r="O82" i="142"/>
  <c r="O83" i="142"/>
  <c r="O84" i="142"/>
  <c r="O85" i="142"/>
  <c r="O87" i="142"/>
  <c r="O90" i="142"/>
  <c r="O91" i="142"/>
  <c r="O92" i="142"/>
  <c r="O93" i="142"/>
  <c r="O94" i="142"/>
  <c r="O95" i="142"/>
  <c r="O96" i="142"/>
  <c r="O99" i="142"/>
  <c r="O100" i="142"/>
  <c r="O101" i="142"/>
  <c r="O103" i="142"/>
  <c r="O104" i="142"/>
  <c r="O105" i="142"/>
  <c r="O106" i="142"/>
  <c r="O107" i="142"/>
  <c r="O108" i="142"/>
  <c r="O109" i="142"/>
  <c r="O110" i="142"/>
  <c r="O116" i="142"/>
  <c r="O119" i="142"/>
  <c r="O122" i="142"/>
  <c r="O125" i="142"/>
  <c r="O132" i="142"/>
  <c r="O133" i="142"/>
  <c r="O134" i="142"/>
  <c r="O139" i="142"/>
  <c r="O140" i="142"/>
  <c r="O142" i="142"/>
  <c r="O143" i="142"/>
  <c r="O145" i="142"/>
  <c r="O146" i="142"/>
  <c r="O148" i="142"/>
  <c r="O150" i="142"/>
  <c r="O152" i="142"/>
  <c r="O153" i="142"/>
  <c r="O56" i="142"/>
  <c r="O57" i="142" s="1"/>
  <c r="O156" i="142"/>
  <c r="O157" i="142"/>
  <c r="O159" i="142"/>
  <c r="O160" i="142"/>
  <c r="O165" i="142"/>
  <c r="O166" i="142"/>
  <c r="O171" i="142"/>
  <c r="O175" i="142"/>
  <c r="O177" i="142"/>
  <c r="O178" i="142"/>
  <c r="O189" i="142"/>
  <c r="O191" i="142"/>
  <c r="O195" i="142"/>
  <c r="O196" i="142"/>
  <c r="O215" i="142"/>
  <c r="O228" i="142"/>
  <c r="O238" i="142"/>
  <c r="O241" i="142"/>
  <c r="O244" i="142"/>
  <c r="O247" i="142"/>
  <c r="O249" i="142"/>
  <c r="O251" i="142"/>
  <c r="O252" i="142"/>
  <c r="O253" i="142"/>
  <c r="O254" i="142"/>
  <c r="O255" i="142"/>
  <c r="O257" i="142"/>
  <c r="O258" i="142"/>
  <c r="O259" i="142"/>
  <c r="O263" i="142"/>
  <c r="O265" i="142"/>
  <c r="O267" i="142"/>
  <c r="O269" i="142"/>
  <c r="O273" i="142"/>
  <c r="AC25" i="143"/>
  <c r="AC24" i="143"/>
  <c r="AC413" i="143"/>
  <c r="AC414" i="143"/>
  <c r="AC415" i="143"/>
  <c r="AC39" i="143"/>
  <c r="AC69" i="143"/>
  <c r="AC70" i="143"/>
  <c r="AC72" i="143"/>
  <c r="AC73" i="143"/>
  <c r="AC78" i="143"/>
  <c r="AC80" i="143"/>
  <c r="AC85" i="143"/>
  <c r="AC86" i="143"/>
  <c r="AC87" i="143"/>
  <c r="AC90" i="143"/>
  <c r="AC92" i="143"/>
  <c r="AC95" i="143"/>
  <c r="AC98" i="143"/>
  <c r="AC99" i="143"/>
  <c r="AC107" i="143"/>
  <c r="AC108" i="143"/>
  <c r="AC111" i="143"/>
  <c r="AC124" i="143"/>
  <c r="AC126" i="143"/>
  <c r="AC127" i="143"/>
  <c r="AC130" i="143"/>
  <c r="AC135" i="143"/>
  <c r="AC146" i="143"/>
  <c r="AC154" i="143"/>
  <c r="AC155" i="143"/>
  <c r="AC156" i="143"/>
  <c r="AC159" i="143"/>
  <c r="AC163" i="143"/>
  <c r="AC165" i="143"/>
  <c r="AC168" i="143"/>
  <c r="AC169" i="143"/>
  <c r="AC170" i="143"/>
  <c r="AC187" i="143"/>
  <c r="AC193" i="143"/>
  <c r="AC199" i="143"/>
  <c r="AC208" i="143"/>
  <c r="AC213" i="143"/>
  <c r="AC216" i="143"/>
  <c r="AC221" i="143"/>
  <c r="AC226" i="143"/>
  <c r="AC227" i="143"/>
  <c r="AC233" i="143"/>
  <c r="AC234" i="143"/>
  <c r="AC241" i="143"/>
  <c r="AC242" i="143"/>
  <c r="AC246" i="143"/>
  <c r="AC253" i="143"/>
  <c r="AC254" i="143"/>
  <c r="AC256" i="143"/>
  <c r="AC260" i="143"/>
  <c r="AC262" i="143"/>
  <c r="AC275" i="143"/>
  <c r="AC276" i="143"/>
  <c r="AC280" i="143"/>
  <c r="AC282" i="143"/>
  <c r="AC284" i="143"/>
  <c r="AC287" i="143"/>
  <c r="AC289" i="143"/>
  <c r="AC291" i="143"/>
  <c r="AC295" i="143"/>
  <c r="AC296" i="143"/>
  <c r="AC297" i="143"/>
  <c r="AC299" i="143"/>
  <c r="AC300" i="143"/>
  <c r="AC303" i="143"/>
  <c r="AC304" i="143"/>
  <c r="AC306" i="143"/>
  <c r="AC307" i="143"/>
  <c r="AC308" i="143"/>
  <c r="AC309" i="143"/>
  <c r="AC310" i="143"/>
  <c r="AC311" i="143"/>
  <c r="AC312" i="143"/>
  <c r="AC313" i="143"/>
  <c r="AC315" i="143"/>
  <c r="AC319" i="143"/>
  <c r="AC322" i="143"/>
  <c r="AC323" i="143"/>
  <c r="AC325" i="143"/>
  <c r="AC326" i="143"/>
  <c r="AC329" i="143"/>
  <c r="AC333" i="143"/>
  <c r="AC335" i="143"/>
  <c r="AC344" i="143"/>
  <c r="AC347" i="143"/>
  <c r="AC349" i="143"/>
  <c r="AC351" i="143"/>
  <c r="AC352" i="143"/>
  <c r="AC353" i="143"/>
  <c r="AC354" i="143"/>
  <c r="AC359" i="143"/>
  <c r="AC361" i="143"/>
  <c r="AC362" i="143"/>
  <c r="AC363" i="143"/>
  <c r="AC364" i="143"/>
  <c r="AC367" i="143"/>
  <c r="AC368" i="143"/>
  <c r="AC371" i="143"/>
  <c r="AC374" i="143"/>
  <c r="AC375" i="143" s="1"/>
  <c r="AC376" i="143"/>
  <c r="AC377" i="143"/>
  <c r="AC379" i="143"/>
  <c r="AC381" i="143"/>
  <c r="AC395" i="143"/>
  <c r="AC418" i="143"/>
  <c r="AC421" i="143"/>
  <c r="AC423" i="143"/>
  <c r="I11" i="139" l="1"/>
  <c r="S372" i="143"/>
  <c r="R12" i="108"/>
  <c r="S248" i="142"/>
  <c r="S274" i="142" s="1"/>
  <c r="N12" i="108"/>
  <c r="O11" i="108"/>
  <c r="O12" i="108" s="1"/>
  <c r="O240" i="143"/>
  <c r="M186" i="143"/>
  <c r="M240" i="143" s="1"/>
  <c r="L186" i="143"/>
  <c r="L240" i="143" s="1"/>
  <c r="P186" i="143"/>
  <c r="P240" i="143" s="1"/>
  <c r="N240" i="143"/>
  <c r="I33" i="139"/>
  <c r="N33" i="108" s="1"/>
  <c r="N255" i="143"/>
  <c r="L255" i="143"/>
  <c r="K33" i="139"/>
  <c r="K34" i="139" s="1"/>
  <c r="K35" i="139" s="1"/>
  <c r="P255" i="143"/>
  <c r="O255" i="143"/>
  <c r="M255" i="143"/>
  <c r="N33" i="139"/>
  <c r="P33" i="108" s="1"/>
  <c r="Q186" i="143"/>
  <c r="Q240" i="143" s="1"/>
  <c r="M33" i="139"/>
  <c r="O33" i="108" s="1"/>
  <c r="J33" i="139"/>
  <c r="L33" i="139"/>
  <c r="L248" i="142"/>
  <c r="L274" i="142" s="1"/>
  <c r="O29" i="139"/>
  <c r="Q29" i="108" s="1"/>
  <c r="X143" i="143"/>
  <c r="X186" i="143"/>
  <c r="P36" i="139"/>
  <c r="R36" i="108" s="1"/>
  <c r="P29" i="139"/>
  <c r="R29" i="108" s="1"/>
  <c r="R63" i="143"/>
  <c r="R79" i="143" s="1"/>
  <c r="O37" i="139"/>
  <c r="Q37" i="108" s="1"/>
  <c r="Q38" i="108" s="1"/>
  <c r="T382" i="143"/>
  <c r="T424" i="143" s="1"/>
  <c r="U382" i="143"/>
  <c r="U424" i="143" s="1"/>
  <c r="N37" i="139"/>
  <c r="P37" i="108" s="1"/>
  <c r="P38" i="108" s="1"/>
  <c r="P22" i="108"/>
  <c r="P25" i="108" s="1"/>
  <c r="P27" i="108" s="1"/>
  <c r="AA382" i="143"/>
  <c r="AA424" i="143" s="1"/>
  <c r="AB382" i="143"/>
  <c r="AB424" i="143" s="1"/>
  <c r="R248" i="142"/>
  <c r="R274" i="142" s="1"/>
  <c r="N21" i="139"/>
  <c r="N24" i="139" s="1"/>
  <c r="N26" i="139" s="1"/>
  <c r="P248" i="142"/>
  <c r="P274" i="142" s="1"/>
  <c r="O32" i="142"/>
  <c r="L22" i="139"/>
  <c r="O9" i="142"/>
  <c r="O11" i="142" s="1"/>
  <c r="V382" i="143"/>
  <c r="V424" i="143" s="1"/>
  <c r="O256" i="142"/>
  <c r="L8" i="139"/>
  <c r="Q13" i="108"/>
  <c r="Q19" i="108" s="1"/>
  <c r="Q22" i="108" s="1"/>
  <c r="Q25" i="108" s="1"/>
  <c r="Q27" i="108" s="1"/>
  <c r="O18" i="139"/>
  <c r="R13" i="108"/>
  <c r="R19" i="108" s="1"/>
  <c r="P18" i="139"/>
  <c r="I41" i="139"/>
  <c r="P11" i="139"/>
  <c r="O11" i="139"/>
  <c r="N41" i="108"/>
  <c r="I37" i="139"/>
  <c r="N37" i="108" s="1"/>
  <c r="N38" i="108" s="1"/>
  <c r="M18" i="139"/>
  <c r="M21" i="139" s="1"/>
  <c r="M24" i="139" s="1"/>
  <c r="M26" i="139" s="1"/>
  <c r="O13" i="108"/>
  <c r="O19" i="108" s="1"/>
  <c r="M37" i="139"/>
  <c r="Z382" i="143"/>
  <c r="Z424" i="143" s="1"/>
  <c r="J27" i="146"/>
  <c r="H22" i="139"/>
  <c r="H45" i="139"/>
  <c r="K9" i="142"/>
  <c r="H43" i="139"/>
  <c r="N3" i="142"/>
  <c r="N255" i="142"/>
  <c r="N254" i="142"/>
  <c r="N253" i="142"/>
  <c r="N252" i="142"/>
  <c r="N251" i="142"/>
  <c r="N4" i="142"/>
  <c r="N7" i="142"/>
  <c r="N8" i="142"/>
  <c r="N10" i="142"/>
  <c r="N12" i="142"/>
  <c r="N13" i="142"/>
  <c r="N17" i="142" s="1"/>
  <c r="N23" i="142"/>
  <c r="N25" i="142"/>
  <c r="N27" i="142"/>
  <c r="N31" i="142"/>
  <c r="N33" i="142"/>
  <c r="N37" i="142"/>
  <c r="N38" i="142"/>
  <c r="N40" i="142"/>
  <c r="N42" i="142"/>
  <c r="N44" i="142"/>
  <c r="N45" i="142"/>
  <c r="N47" i="142"/>
  <c r="N48" i="142"/>
  <c r="N49" i="142"/>
  <c r="N58" i="142"/>
  <c r="N60" i="142"/>
  <c r="N65" i="142"/>
  <c r="N66" i="142"/>
  <c r="N68" i="142"/>
  <c r="N69" i="142"/>
  <c r="N70" i="142"/>
  <c r="N71" i="142"/>
  <c r="N72" i="142"/>
  <c r="N73" i="142"/>
  <c r="N74" i="142"/>
  <c r="N75" i="142"/>
  <c r="N77" i="142"/>
  <c r="N78" i="142"/>
  <c r="N80" i="142"/>
  <c r="N81" i="142"/>
  <c r="N82" i="142"/>
  <c r="N83" i="142"/>
  <c r="N84" i="142"/>
  <c r="N85" i="142"/>
  <c r="N87" i="142"/>
  <c r="N90" i="142"/>
  <c r="N91" i="142"/>
  <c r="N92" i="142"/>
  <c r="N93" i="142"/>
  <c r="N94" i="142"/>
  <c r="N95" i="142"/>
  <c r="N96" i="142"/>
  <c r="N99" i="142"/>
  <c r="N100" i="142"/>
  <c r="N101" i="142"/>
  <c r="N103" i="142"/>
  <c r="N104" i="142"/>
  <c r="N105" i="142"/>
  <c r="N106" i="142"/>
  <c r="N107" i="142"/>
  <c r="N108" i="142"/>
  <c r="N109" i="142"/>
  <c r="N110" i="142"/>
  <c r="N116" i="142"/>
  <c r="N119" i="142"/>
  <c r="N122" i="142"/>
  <c r="N125" i="142"/>
  <c r="N128" i="142"/>
  <c r="N132" i="142"/>
  <c r="N133" i="142"/>
  <c r="N134" i="142"/>
  <c r="N139" i="142"/>
  <c r="N140" i="142"/>
  <c r="N142" i="142"/>
  <c r="N143" i="142"/>
  <c r="N145" i="142"/>
  <c r="N146" i="142"/>
  <c r="N148" i="142"/>
  <c r="N150" i="142"/>
  <c r="N152" i="142"/>
  <c r="N153" i="142"/>
  <c r="N56" i="142"/>
  <c r="N57" i="142" s="1"/>
  <c r="N156" i="142"/>
  <c r="N157" i="142"/>
  <c r="N159" i="142"/>
  <c r="N160" i="142"/>
  <c r="N165" i="142"/>
  <c r="N166" i="142"/>
  <c r="N171" i="142"/>
  <c r="N175" i="142"/>
  <c r="N177" i="142"/>
  <c r="N178" i="142"/>
  <c r="N189" i="142"/>
  <c r="N191" i="142"/>
  <c r="N195" i="142"/>
  <c r="N196" i="142"/>
  <c r="N215" i="142"/>
  <c r="N228" i="142"/>
  <c r="N238" i="142"/>
  <c r="N241" i="142"/>
  <c r="N244" i="142"/>
  <c r="N247" i="142"/>
  <c r="N249" i="142"/>
  <c r="N257" i="142"/>
  <c r="N258" i="142"/>
  <c r="N259" i="142"/>
  <c r="N263" i="142"/>
  <c r="N265" i="142"/>
  <c r="N267" i="142"/>
  <c r="N269" i="142"/>
  <c r="N273" i="142"/>
  <c r="R22" i="108" l="1"/>
  <c r="R25" i="108" s="1"/>
  <c r="R27" i="108" s="1"/>
  <c r="O22" i="108"/>
  <c r="O25" i="108" s="1"/>
  <c r="O27" i="108" s="1"/>
  <c r="R164" i="143"/>
  <c r="R240" i="143" s="1"/>
  <c r="R123" i="143"/>
  <c r="L34" i="139"/>
  <c r="L35" i="139" s="1"/>
  <c r="J34" i="139"/>
  <c r="J35" i="139" s="1"/>
  <c r="N34" i="139"/>
  <c r="P34" i="108" s="1"/>
  <c r="P35" i="108" s="1"/>
  <c r="I34" i="139"/>
  <c r="O33" i="139"/>
  <c r="Q33" i="108" s="1"/>
  <c r="M34" i="139"/>
  <c r="S164" i="143"/>
  <c r="P37" i="139"/>
  <c r="P38" i="139" s="1"/>
  <c r="S35" i="143"/>
  <c r="O38" i="139"/>
  <c r="N38" i="139"/>
  <c r="I38" i="139"/>
  <c r="N32" i="142"/>
  <c r="N256" i="142"/>
  <c r="K8" i="139"/>
  <c r="K22" i="139"/>
  <c r="N9" i="142"/>
  <c r="O21" i="139"/>
  <c r="O24" i="139" s="1"/>
  <c r="O26" i="139" s="1"/>
  <c r="N6" i="142"/>
  <c r="P21" i="139"/>
  <c r="P24" i="139" s="1"/>
  <c r="P26" i="139" s="1"/>
  <c r="O37" i="108"/>
  <c r="O38" i="108" s="1"/>
  <c r="M38" i="139"/>
  <c r="K43" i="108"/>
  <c r="F32" i="139"/>
  <c r="N35" i="139" l="1"/>
  <c r="I35" i="139"/>
  <c r="I44" i="139" s="1"/>
  <c r="I47" i="139" s="1"/>
  <c r="I49" i="139" s="1"/>
  <c r="N34" i="108"/>
  <c r="N35" i="108" s="1"/>
  <c r="N44" i="108" s="1"/>
  <c r="N47" i="108" s="1"/>
  <c r="N49" i="108" s="1"/>
  <c r="S186" i="143"/>
  <c r="S240" i="143" s="1"/>
  <c r="P33" i="139"/>
  <c r="R33" i="108" s="1"/>
  <c r="M35" i="139"/>
  <c r="O34" i="108"/>
  <c r="O35" i="108" s="1"/>
  <c r="S51" i="143"/>
  <c r="S63" i="143" s="1"/>
  <c r="S79" i="143" s="1"/>
  <c r="S123" i="143" s="1"/>
  <c r="S255" i="143"/>
  <c r="O34" i="139"/>
  <c r="R37" i="108"/>
  <c r="R38" i="108" s="1"/>
  <c r="K7" i="139"/>
  <c r="N11" i="142"/>
  <c r="P26" i="109"/>
  <c r="O26" i="109"/>
  <c r="P18" i="109"/>
  <c r="O18" i="109"/>
  <c r="I96" i="143"/>
  <c r="AC96" i="143" s="1"/>
  <c r="H167" i="142"/>
  <c r="P34" i="139" l="1"/>
  <c r="R34" i="108" s="1"/>
  <c r="R35" i="108" s="1"/>
  <c r="O35" i="139"/>
  <c r="Q34" i="108"/>
  <c r="Q35" i="108" s="1"/>
  <c r="P31" i="109"/>
  <c r="P34" i="109" s="1"/>
  <c r="O31" i="109"/>
  <c r="O34" i="109" s="1"/>
  <c r="O167" i="142"/>
  <c r="N167" i="142"/>
  <c r="P35" i="139" l="1"/>
  <c r="K225" i="142"/>
  <c r="K348" i="143"/>
  <c r="K219" i="142"/>
  <c r="K341" i="143"/>
  <c r="K209" i="142"/>
  <c r="K343" i="143"/>
  <c r="K337" i="143"/>
  <c r="K332" i="143"/>
  <c r="AC332" i="143" s="1"/>
  <c r="K317" i="143"/>
  <c r="K298" i="143"/>
  <c r="AC337" i="143" l="1"/>
  <c r="AC340" i="143"/>
  <c r="AC302" i="143"/>
  <c r="AC343" i="143"/>
  <c r="AC346" i="143"/>
  <c r="AC317" i="143"/>
  <c r="AC321" i="143"/>
  <c r="O209" i="142"/>
  <c r="N209" i="142"/>
  <c r="O225" i="142"/>
  <c r="N225" i="142"/>
  <c r="O219" i="142"/>
  <c r="N219" i="142"/>
  <c r="J391" i="143"/>
  <c r="X201" i="143"/>
  <c r="X231" i="143" s="1"/>
  <c r="X240" i="143" s="1"/>
  <c r="X382" i="143" s="1"/>
  <c r="J107" i="143"/>
  <c r="J70" i="143"/>
  <c r="J69" i="143"/>
  <c r="J48" i="143"/>
  <c r="J24" i="143"/>
  <c r="X15" i="143"/>
  <c r="J15" i="143" s="1"/>
  <c r="X13" i="143"/>
  <c r="J13" i="143" s="1"/>
  <c r="K162" i="142"/>
  <c r="J246" i="142"/>
  <c r="J201" i="143" l="1"/>
  <c r="X35" i="143"/>
  <c r="X63" i="143" s="1"/>
  <c r="X424" i="143" s="1"/>
  <c r="M139" i="142"/>
  <c r="M149" i="142" s="1"/>
  <c r="M79" i="142"/>
  <c r="M76" i="142"/>
  <c r="Y387" i="143"/>
  <c r="Y386" i="143"/>
  <c r="M155" i="142"/>
  <c r="Y217" i="143"/>
  <c r="Y213" i="143"/>
  <c r="Y145" i="143"/>
  <c r="Y164" i="143" s="1"/>
  <c r="Y133" i="143"/>
  <c r="Y134" i="143" s="1"/>
  <c r="M63" i="142"/>
  <c r="M67" i="142" s="1"/>
  <c r="Y95" i="143"/>
  <c r="Y97" i="143" s="1"/>
  <c r="M89" i="142" l="1"/>
  <c r="Y231" i="143"/>
  <c r="Y240" i="143" s="1"/>
  <c r="Y382" i="143" s="1"/>
  <c r="J14" i="139"/>
  <c r="M158" i="142"/>
  <c r="M164" i="142" s="1"/>
  <c r="M151" i="142"/>
  <c r="J12" i="139" s="1"/>
  <c r="J18" i="139" s="1"/>
  <c r="J21" i="139" s="1"/>
  <c r="J24" i="139" s="1"/>
  <c r="J26" i="139" s="1"/>
  <c r="Y394" i="143"/>
  <c r="Y422" i="143" s="1"/>
  <c r="Y70" i="143"/>
  <c r="Y65" i="143"/>
  <c r="Y39" i="143"/>
  <c r="Y51" i="143" s="1"/>
  <c r="Y29" i="143"/>
  <c r="Y35" i="143" s="1"/>
  <c r="Y63" i="143" l="1"/>
  <c r="Y79" i="143"/>
  <c r="M248" i="142"/>
  <c r="Y83" i="143"/>
  <c r="J83" i="143" l="1"/>
  <c r="Y89" i="143"/>
  <c r="Y123" i="143" s="1"/>
  <c r="Y424" i="143" s="1"/>
  <c r="M20" i="108"/>
  <c r="L20" i="108"/>
  <c r="H48" i="139"/>
  <c r="M48" i="108" s="1"/>
  <c r="G48" i="139"/>
  <c r="L48" i="108" s="1"/>
  <c r="H46" i="139"/>
  <c r="M46" i="108" s="1"/>
  <c r="G46" i="139"/>
  <c r="L46" i="108" s="1"/>
  <c r="M45" i="108"/>
  <c r="G45" i="139"/>
  <c r="L45" i="108" s="1"/>
  <c r="M43" i="108"/>
  <c r="G36" i="139"/>
  <c r="H25" i="139"/>
  <c r="M26" i="108" s="1"/>
  <c r="H23" i="139"/>
  <c r="M24" i="108" s="1"/>
  <c r="M23" i="108"/>
  <c r="G17" i="139"/>
  <c r="L17" i="108" s="1"/>
  <c r="H17" i="139"/>
  <c r="M17" i="108" s="1"/>
  <c r="G16" i="139"/>
  <c r="L18" i="108" s="1"/>
  <c r="H15" i="139"/>
  <c r="G15" i="139"/>
  <c r="L16" i="108" s="1"/>
  <c r="H8" i="139"/>
  <c r="M8" i="108" s="1"/>
  <c r="L36" i="108" l="1"/>
  <c r="M16" i="108"/>
  <c r="K397" i="143"/>
  <c r="K396" i="143"/>
  <c r="K336" i="143"/>
  <c r="AC336" i="143" s="1"/>
  <c r="K338" i="143"/>
  <c r="K339" i="143"/>
  <c r="K324" i="143"/>
  <c r="K316" i="143"/>
  <c r="K278" i="143"/>
  <c r="K264" i="143"/>
  <c r="K247" i="143"/>
  <c r="K248" i="143"/>
  <c r="K237" i="143"/>
  <c r="K230" i="143"/>
  <c r="AC230" i="143" s="1"/>
  <c r="K223" i="143"/>
  <c r="K228" i="143"/>
  <c r="K220" i="143"/>
  <c r="K215" i="143"/>
  <c r="K207" i="143"/>
  <c r="K211" i="143"/>
  <c r="AC211" i="143" s="1"/>
  <c r="K212" i="143"/>
  <c r="AC212" i="143" s="1"/>
  <c r="K206" i="143"/>
  <c r="K204" i="143"/>
  <c r="K201" i="143"/>
  <c r="K192" i="143"/>
  <c r="AC192" i="143" s="1"/>
  <c r="K194" i="143"/>
  <c r="K180" i="143"/>
  <c r="K171" i="143"/>
  <c r="AC171" i="143" s="1"/>
  <c r="K172" i="143"/>
  <c r="K161" i="143"/>
  <c r="K132" i="143"/>
  <c r="K102" i="143"/>
  <c r="K103" i="143"/>
  <c r="AC103" i="143" s="1"/>
  <c r="K101" i="143"/>
  <c r="AC101" i="143" s="1"/>
  <c r="K93" i="143"/>
  <c r="K84" i="143"/>
  <c r="K83" i="143"/>
  <c r="AC137" i="143" s="1"/>
  <c r="K59" i="143"/>
  <c r="K60" i="143"/>
  <c r="K58" i="143"/>
  <c r="AC120" i="143" s="1"/>
  <c r="AC121" i="143" s="1"/>
  <c r="K55" i="143"/>
  <c r="K53" i="143"/>
  <c r="K49" i="143"/>
  <c r="K43" i="143"/>
  <c r="AC43" i="143" s="1"/>
  <c r="J272" i="142"/>
  <c r="J262" i="142"/>
  <c r="J256" i="142"/>
  <c r="J127" i="142"/>
  <c r="J121" i="142"/>
  <c r="J51" i="142"/>
  <c r="J43" i="142"/>
  <c r="J39" i="142"/>
  <c r="J9" i="142"/>
  <c r="J6" i="142"/>
  <c r="K18" i="142"/>
  <c r="K21" i="142"/>
  <c r="I17" i="139"/>
  <c r="K36" i="142"/>
  <c r="K41" i="142"/>
  <c r="K50" i="142"/>
  <c r="K86" i="142"/>
  <c r="K88" i="142"/>
  <c r="K98" i="142"/>
  <c r="K102" i="142"/>
  <c r="K111" i="142"/>
  <c r="K112" i="142"/>
  <c r="K113" i="142"/>
  <c r="K114" i="142"/>
  <c r="K120" i="142"/>
  <c r="K124" i="142"/>
  <c r="K126" i="142"/>
  <c r="K131" i="142"/>
  <c r="K135" i="142"/>
  <c r="K136" i="142"/>
  <c r="K137" i="142"/>
  <c r="K138" i="142"/>
  <c r="K163" i="142"/>
  <c r="K201" i="142"/>
  <c r="K240" i="142"/>
  <c r="K243" i="142"/>
  <c r="K245" i="142"/>
  <c r="K260" i="142"/>
  <c r="K261" i="142"/>
  <c r="K266" i="142"/>
  <c r="I127" i="142"/>
  <c r="I262" i="142"/>
  <c r="I161" i="142"/>
  <c r="I162" i="142" s="1"/>
  <c r="K399" i="143" l="1"/>
  <c r="K127" i="142"/>
  <c r="AC114" i="143"/>
  <c r="AC161" i="143"/>
  <c r="AC196" i="143"/>
  <c r="AC206" i="143"/>
  <c r="AC224" i="143"/>
  <c r="AC264" i="143"/>
  <c r="AC272" i="143"/>
  <c r="AC339" i="143"/>
  <c r="AC342" i="143"/>
  <c r="AC397" i="143"/>
  <c r="AC403" i="143"/>
  <c r="AC237" i="143"/>
  <c r="AC249" i="143"/>
  <c r="AC278" i="143"/>
  <c r="AC285" i="143"/>
  <c r="AC338" i="143"/>
  <c r="AC341" i="143"/>
  <c r="AC84" i="143"/>
  <c r="AC138" i="143"/>
  <c r="AC119" i="143"/>
  <c r="AC248" i="143"/>
  <c r="AC259" i="143"/>
  <c r="AC316" i="143"/>
  <c r="AC320" i="143"/>
  <c r="AC194" i="143"/>
  <c r="AC217" i="143"/>
  <c r="AC215" i="143"/>
  <c r="AC232" i="143"/>
  <c r="AC109" i="143"/>
  <c r="AC180" i="143"/>
  <c r="AC209" i="143"/>
  <c r="AC204" i="143"/>
  <c r="AC207" i="143"/>
  <c r="AC225" i="143"/>
  <c r="AC247" i="143"/>
  <c r="AC258" i="143"/>
  <c r="AC324" i="143"/>
  <c r="AC328" i="143"/>
  <c r="N17" i="108"/>
  <c r="N19" i="108" s="1"/>
  <c r="N22" i="108" s="1"/>
  <c r="I18" i="139"/>
  <c r="I21" i="139" s="1"/>
  <c r="J11" i="142"/>
  <c r="J264" i="142"/>
  <c r="O137" i="142"/>
  <c r="N137" i="142"/>
  <c r="O126" i="142"/>
  <c r="N126" i="142"/>
  <c r="O114" i="142"/>
  <c r="N114" i="142"/>
  <c r="O102" i="142"/>
  <c r="N102" i="142"/>
  <c r="O163" i="142"/>
  <c r="N163" i="142"/>
  <c r="O243" i="142"/>
  <c r="N243" i="142"/>
  <c r="O138" i="142"/>
  <c r="N138" i="142"/>
  <c r="K121" i="142"/>
  <c r="O261" i="142"/>
  <c r="N261" i="142"/>
  <c r="K262" i="142"/>
  <c r="O260" i="142"/>
  <c r="N260" i="142"/>
  <c r="O201" i="142"/>
  <c r="N201" i="142"/>
  <c r="O136" i="142"/>
  <c r="N136" i="142"/>
  <c r="O124" i="142"/>
  <c r="N124" i="142"/>
  <c r="O113" i="142"/>
  <c r="N113" i="142"/>
  <c r="O98" i="142"/>
  <c r="N98" i="142"/>
  <c r="O135" i="142"/>
  <c r="N135" i="142"/>
  <c r="O245" i="142"/>
  <c r="O246" i="142" s="1"/>
  <c r="N245" i="142"/>
  <c r="N246" i="142" s="1"/>
  <c r="K246" i="142"/>
  <c r="O88" i="142"/>
  <c r="N88" i="142"/>
  <c r="O266" i="142"/>
  <c r="N266" i="142"/>
  <c r="O131" i="142"/>
  <c r="N131" i="142"/>
  <c r="O111" i="142"/>
  <c r="N111" i="142"/>
  <c r="O86" i="142"/>
  <c r="N86" i="142"/>
  <c r="O50" i="142"/>
  <c r="N50" i="142"/>
  <c r="L17" i="139"/>
  <c r="H16" i="139"/>
  <c r="M18" i="108" s="1"/>
  <c r="O18" i="142"/>
  <c r="N18" i="142"/>
  <c r="O41" i="142"/>
  <c r="N41" i="142"/>
  <c r="O36" i="142"/>
  <c r="O39" i="142" s="1"/>
  <c r="N36" i="142"/>
  <c r="N39" i="142" s="1"/>
  <c r="H14" i="139"/>
  <c r="M15" i="108" s="1"/>
  <c r="I4" i="142"/>
  <c r="I8" i="142"/>
  <c r="G22" i="139" s="1"/>
  <c r="L23" i="108" s="1"/>
  <c r="I13" i="142"/>
  <c r="I17" i="142" s="1"/>
  <c r="I20" i="142"/>
  <c r="G25" i="139" s="1"/>
  <c r="L26" i="108" s="1"/>
  <c r="I27" i="142"/>
  <c r="K39" i="142"/>
  <c r="I42" i="142"/>
  <c r="I48" i="142"/>
  <c r="K51" i="142" s="1"/>
  <c r="I49" i="142"/>
  <c r="I66" i="142"/>
  <c r="I74" i="142"/>
  <c r="K89" i="142" s="1"/>
  <c r="I78" i="142"/>
  <c r="I82" i="142"/>
  <c r="I84" i="142"/>
  <c r="I94" i="142"/>
  <c r="K118" i="142" s="1"/>
  <c r="I104" i="142"/>
  <c r="I109" i="142"/>
  <c r="I116" i="142"/>
  <c r="I121" i="142"/>
  <c r="I130" i="142"/>
  <c r="K130" i="142" s="1"/>
  <c r="I132" i="142"/>
  <c r="I139" i="142"/>
  <c r="I141" i="142"/>
  <c r="K141" i="142" s="1"/>
  <c r="I145" i="142"/>
  <c r="I146" i="142"/>
  <c r="I148" i="142"/>
  <c r="I157" i="142"/>
  <c r="I167" i="142"/>
  <c r="I170" i="142" s="1"/>
  <c r="I173" i="142"/>
  <c r="I175" i="142"/>
  <c r="I179" i="142"/>
  <c r="K188" i="142" s="1"/>
  <c r="I182" i="142"/>
  <c r="I183" i="142"/>
  <c r="I184" i="142"/>
  <c r="I185" i="142"/>
  <c r="I186" i="142"/>
  <c r="I191" i="142"/>
  <c r="K200" i="142" s="1"/>
  <c r="I192" i="142"/>
  <c r="I193" i="142"/>
  <c r="I195" i="142"/>
  <c r="I196" i="142"/>
  <c r="I198" i="142"/>
  <c r="I206" i="142"/>
  <c r="I217" i="142"/>
  <c r="K227" i="142" s="1"/>
  <c r="I218" i="142"/>
  <c r="I220" i="142"/>
  <c r="I223" i="142"/>
  <c r="I229" i="142"/>
  <c r="K237" i="142" s="1"/>
  <c r="I230" i="142"/>
  <c r="I234" i="142"/>
  <c r="I240" i="142"/>
  <c r="I246" i="142"/>
  <c r="I253" i="142"/>
  <c r="G8" i="139" s="1"/>
  <c r="L8" i="108" s="1"/>
  <c r="I268" i="142"/>
  <c r="I270" i="142"/>
  <c r="I271" i="142"/>
  <c r="K271" i="142" s="1"/>
  <c r="I3" i="142"/>
  <c r="F245" i="161"/>
  <c r="E245" i="161"/>
  <c r="D245" i="161"/>
  <c r="G244" i="161"/>
  <c r="G245" i="161" s="1"/>
  <c r="G243" i="161"/>
  <c r="F243" i="161"/>
  <c r="E243" i="161"/>
  <c r="D243" i="161"/>
  <c r="H242" i="161"/>
  <c r="H243" i="161" s="1"/>
  <c r="L241" i="161"/>
  <c r="G241" i="161"/>
  <c r="F241" i="161"/>
  <c r="E241" i="161"/>
  <c r="D241" i="161"/>
  <c r="H240" i="161"/>
  <c r="H241" i="161" s="1"/>
  <c r="G239" i="161"/>
  <c r="F239" i="161"/>
  <c r="E239" i="161"/>
  <c r="D239" i="161"/>
  <c r="H238" i="161"/>
  <c r="H239" i="161" s="1"/>
  <c r="G237" i="161"/>
  <c r="F237" i="161"/>
  <c r="E237" i="161"/>
  <c r="D237" i="161"/>
  <c r="H236" i="161"/>
  <c r="H237" i="161" s="1"/>
  <c r="G235" i="161"/>
  <c r="F235" i="161"/>
  <c r="E235" i="161"/>
  <c r="D235" i="161"/>
  <c r="H234" i="161"/>
  <c r="H235" i="161" s="1"/>
  <c r="G233" i="161"/>
  <c r="F233" i="161"/>
  <c r="E233" i="161"/>
  <c r="D233" i="161"/>
  <c r="H232" i="161"/>
  <c r="H233" i="161" s="1"/>
  <c r="G231" i="161"/>
  <c r="F231" i="161"/>
  <c r="E231" i="161"/>
  <c r="D231" i="161"/>
  <c r="H230" i="161"/>
  <c r="H231" i="161" s="1"/>
  <c r="G229" i="161"/>
  <c r="F229" i="161"/>
  <c r="E229" i="161"/>
  <c r="D229" i="161"/>
  <c r="H228" i="161"/>
  <c r="H229" i="161" s="1"/>
  <c r="G227" i="161"/>
  <c r="F227" i="161"/>
  <c r="E227" i="161"/>
  <c r="D227" i="161"/>
  <c r="H226" i="161"/>
  <c r="H225" i="161"/>
  <c r="H224" i="161"/>
  <c r="H223" i="161"/>
  <c r="H222" i="161"/>
  <c r="H221" i="161"/>
  <c r="H220" i="161"/>
  <c r="H219" i="161"/>
  <c r="H218" i="161"/>
  <c r="H217" i="161"/>
  <c r="H216" i="161"/>
  <c r="H215" i="161"/>
  <c r="H214" i="161"/>
  <c r="G213" i="161"/>
  <c r="F213" i="161"/>
  <c r="E213" i="161"/>
  <c r="D213" i="161"/>
  <c r="H212" i="161"/>
  <c r="H211" i="161"/>
  <c r="H210" i="161"/>
  <c r="H209" i="161"/>
  <c r="H208" i="161"/>
  <c r="H207" i="161"/>
  <c r="H206" i="161"/>
  <c r="H205" i="161"/>
  <c r="H204" i="161"/>
  <c r="H203" i="161"/>
  <c r="H202" i="161"/>
  <c r="H201" i="161"/>
  <c r="H200" i="161"/>
  <c r="H199" i="161"/>
  <c r="H198" i="161"/>
  <c r="H197" i="161"/>
  <c r="H196" i="161"/>
  <c r="H195" i="161"/>
  <c r="H194" i="161"/>
  <c r="H193" i="161"/>
  <c r="H192" i="161"/>
  <c r="H191" i="161"/>
  <c r="H190" i="161"/>
  <c r="H189" i="161"/>
  <c r="H188" i="161"/>
  <c r="H187" i="161"/>
  <c r="H186" i="161"/>
  <c r="H185" i="161"/>
  <c r="H184" i="161"/>
  <c r="H183" i="161"/>
  <c r="H182" i="161"/>
  <c r="H181" i="161"/>
  <c r="H180" i="161"/>
  <c r="H179" i="161"/>
  <c r="H178" i="161"/>
  <c r="H177" i="161"/>
  <c r="H176" i="161"/>
  <c r="H175" i="161"/>
  <c r="H174" i="161"/>
  <c r="H173" i="161"/>
  <c r="H172" i="161"/>
  <c r="H171" i="161"/>
  <c r="H170" i="161"/>
  <c r="H169" i="161"/>
  <c r="H168" i="161"/>
  <c r="H167" i="161"/>
  <c r="H166" i="161"/>
  <c r="H165" i="161"/>
  <c r="H164" i="161"/>
  <c r="H163" i="161"/>
  <c r="H162" i="161"/>
  <c r="H161" i="161"/>
  <c r="H160" i="161"/>
  <c r="H159" i="161"/>
  <c r="H158" i="161"/>
  <c r="H157" i="161"/>
  <c r="H156" i="161"/>
  <c r="H155" i="161"/>
  <c r="H154" i="161"/>
  <c r="H153" i="161"/>
  <c r="H152" i="161"/>
  <c r="H151" i="161"/>
  <c r="H150" i="161"/>
  <c r="H149" i="161"/>
  <c r="H148" i="161"/>
  <c r="H147" i="161"/>
  <c r="H146" i="161"/>
  <c r="H145" i="161"/>
  <c r="H144" i="161"/>
  <c r="H143" i="161"/>
  <c r="H142" i="161"/>
  <c r="H141" i="161"/>
  <c r="H140" i="161"/>
  <c r="H139" i="161"/>
  <c r="H138" i="161"/>
  <c r="H137" i="161"/>
  <c r="H136" i="161"/>
  <c r="H135" i="161"/>
  <c r="H134" i="161"/>
  <c r="H133" i="161"/>
  <c r="H132" i="161"/>
  <c r="H131" i="161"/>
  <c r="H130" i="161"/>
  <c r="H129" i="161"/>
  <c r="H128" i="161"/>
  <c r="H127" i="161"/>
  <c r="H126" i="161"/>
  <c r="H125" i="161"/>
  <c r="H124" i="161"/>
  <c r="H123" i="161"/>
  <c r="H122" i="161"/>
  <c r="G121" i="161"/>
  <c r="F121" i="161"/>
  <c r="E121" i="161"/>
  <c r="D121" i="161"/>
  <c r="H120" i="161"/>
  <c r="H119" i="161"/>
  <c r="H118" i="161"/>
  <c r="H117" i="161"/>
  <c r="H116" i="161"/>
  <c r="H115" i="161"/>
  <c r="H114" i="161"/>
  <c r="H113" i="161"/>
  <c r="H112" i="161"/>
  <c r="H111" i="161"/>
  <c r="H110" i="161"/>
  <c r="H109" i="161"/>
  <c r="H108" i="161"/>
  <c r="H107" i="161"/>
  <c r="H106" i="161"/>
  <c r="H105" i="161"/>
  <c r="H104" i="161"/>
  <c r="H103" i="161"/>
  <c r="H102" i="161"/>
  <c r="H101" i="161"/>
  <c r="H100" i="161"/>
  <c r="H99" i="161"/>
  <c r="H98" i="161"/>
  <c r="H97" i="161"/>
  <c r="H96" i="161"/>
  <c r="H95" i="161"/>
  <c r="H94" i="161"/>
  <c r="H93" i="161"/>
  <c r="H92" i="161"/>
  <c r="H91" i="161"/>
  <c r="H90" i="161"/>
  <c r="H89" i="161"/>
  <c r="H88" i="161"/>
  <c r="H87" i="161"/>
  <c r="H86" i="161"/>
  <c r="H85" i="161"/>
  <c r="H84" i="161"/>
  <c r="H83" i="161"/>
  <c r="H82" i="161"/>
  <c r="H81" i="161"/>
  <c r="H80" i="161"/>
  <c r="H79" i="161"/>
  <c r="H78" i="161"/>
  <c r="H77" i="161"/>
  <c r="H76" i="161"/>
  <c r="H75" i="161"/>
  <c r="H74" i="161"/>
  <c r="H73" i="161"/>
  <c r="H72" i="161"/>
  <c r="H71" i="161"/>
  <c r="H70" i="161"/>
  <c r="H69" i="161"/>
  <c r="H68" i="161"/>
  <c r="H67" i="161"/>
  <c r="H66" i="161"/>
  <c r="H65" i="161"/>
  <c r="H64" i="161"/>
  <c r="H63" i="161"/>
  <c r="H62" i="161"/>
  <c r="H61" i="161"/>
  <c r="H60" i="161"/>
  <c r="H59" i="161"/>
  <c r="H58" i="161"/>
  <c r="H57" i="161"/>
  <c r="H56" i="161"/>
  <c r="H55" i="161"/>
  <c r="H54" i="161"/>
  <c r="H53" i="161"/>
  <c r="H52" i="161"/>
  <c r="H51" i="161"/>
  <c r="H50" i="161"/>
  <c r="H49" i="161"/>
  <c r="H48" i="161"/>
  <c r="F47" i="161"/>
  <c r="E47" i="161"/>
  <c r="D47" i="161"/>
  <c r="H46" i="161"/>
  <c r="H45" i="161"/>
  <c r="H44" i="161"/>
  <c r="H43" i="161"/>
  <c r="H42" i="161"/>
  <c r="H41" i="161"/>
  <c r="H40" i="161"/>
  <c r="H39" i="161"/>
  <c r="H38" i="161"/>
  <c r="H37" i="161"/>
  <c r="H36" i="161"/>
  <c r="H35" i="161"/>
  <c r="H34" i="161"/>
  <c r="H33" i="161"/>
  <c r="H32" i="161"/>
  <c r="G31" i="161"/>
  <c r="H31" i="161" s="1"/>
  <c r="H30" i="161"/>
  <c r="H29" i="161"/>
  <c r="H28" i="161"/>
  <c r="H27" i="161"/>
  <c r="G26" i="161"/>
  <c r="H26" i="161" s="1"/>
  <c r="H25" i="161"/>
  <c r="H24" i="161"/>
  <c r="H23" i="161"/>
  <c r="H22" i="161"/>
  <c r="H21" i="161"/>
  <c r="H20" i="161"/>
  <c r="H19" i="161"/>
  <c r="G18" i="161"/>
  <c r="F18" i="161"/>
  <c r="E18" i="161"/>
  <c r="D18" i="161"/>
  <c r="H17" i="161"/>
  <c r="H16" i="161"/>
  <c r="H15" i="161"/>
  <c r="H14" i="161"/>
  <c r="H13" i="161"/>
  <c r="H12" i="161"/>
  <c r="H11" i="161"/>
  <c r="H10" i="161"/>
  <c r="G9" i="161"/>
  <c r="F9" i="161"/>
  <c r="E9" i="161"/>
  <c r="D9" i="161"/>
  <c r="H8" i="161"/>
  <c r="H7" i="161"/>
  <c r="H6" i="161"/>
  <c r="F5" i="161"/>
  <c r="E5" i="161"/>
  <c r="D5" i="161"/>
  <c r="H4" i="161"/>
  <c r="G3" i="161"/>
  <c r="H3" i="161" s="1"/>
  <c r="H2" i="161"/>
  <c r="N51" i="142" l="1"/>
  <c r="O51" i="142"/>
  <c r="O262" i="142"/>
  <c r="O264" i="142" s="1"/>
  <c r="N43" i="142"/>
  <c r="N59" i="142" s="1"/>
  <c r="H9" i="161"/>
  <c r="O43" i="142"/>
  <c r="O59" i="142" s="1"/>
  <c r="N262" i="142"/>
  <c r="N264" i="142" s="1"/>
  <c r="O271" i="142"/>
  <c r="N271" i="142"/>
  <c r="O141" i="142"/>
  <c r="N141" i="142"/>
  <c r="K270" i="142"/>
  <c r="I23" i="139" s="1"/>
  <c r="G23" i="139"/>
  <c r="L24" i="108" s="1"/>
  <c r="K149" i="142"/>
  <c r="G14" i="139"/>
  <c r="L15" i="108" s="1"/>
  <c r="K268" i="142"/>
  <c r="G20" i="139"/>
  <c r="L21" i="108" s="1"/>
  <c r="K97" i="142"/>
  <c r="G9" i="139"/>
  <c r="L9" i="108" s="1"/>
  <c r="F250" i="161"/>
  <c r="F252" i="161" s="1"/>
  <c r="H18" i="161"/>
  <c r="H213" i="161"/>
  <c r="I6" i="142"/>
  <c r="G7" i="139" s="1"/>
  <c r="L7" i="108" s="1"/>
  <c r="K6" i="142"/>
  <c r="I256" i="142"/>
  <c r="I264" i="142" s="1"/>
  <c r="K256" i="142"/>
  <c r="K176" i="142"/>
  <c r="K67" i="142"/>
  <c r="I67" i="142"/>
  <c r="K32" i="142"/>
  <c r="I22" i="142"/>
  <c r="K22" i="142"/>
  <c r="D250" i="161"/>
  <c r="D252" i="161" s="1"/>
  <c r="I214" i="142"/>
  <c r="K214" i="142"/>
  <c r="I158" i="142"/>
  <c r="I164" i="142" s="1"/>
  <c r="K158" i="142"/>
  <c r="K164" i="142" s="1"/>
  <c r="E250" i="161"/>
  <c r="E252" i="161" s="1"/>
  <c r="H121" i="161"/>
  <c r="H227" i="161"/>
  <c r="H244" i="161"/>
  <c r="H245" i="161" s="1"/>
  <c r="I43" i="142"/>
  <c r="K43" i="142"/>
  <c r="I9" i="142"/>
  <c r="I227" i="142"/>
  <c r="I176" i="142"/>
  <c r="I118" i="142"/>
  <c r="I272" i="142"/>
  <c r="I188" i="142"/>
  <c r="I32" i="142"/>
  <c r="I89" i="142"/>
  <c r="I51" i="142"/>
  <c r="I200" i="142"/>
  <c r="I149" i="142"/>
  <c r="I237" i="142"/>
  <c r="I39" i="142"/>
  <c r="H47" i="161"/>
  <c r="G47" i="161"/>
  <c r="G5" i="161"/>
  <c r="H5" i="161"/>
  <c r="J89" i="143"/>
  <c r="J410" i="143"/>
  <c r="G39" i="139"/>
  <c r="L39" i="108" s="1"/>
  <c r="J380" i="143"/>
  <c r="J375" i="143"/>
  <c r="J370" i="143"/>
  <c r="J366" i="143"/>
  <c r="J345" i="143"/>
  <c r="J327" i="143"/>
  <c r="J314" i="143"/>
  <c r="J301" i="143"/>
  <c r="J279" i="143"/>
  <c r="J274" i="143"/>
  <c r="J238" i="143"/>
  <c r="J198" i="143"/>
  <c r="J195" i="143"/>
  <c r="J231" i="143" s="1"/>
  <c r="J134" i="143"/>
  <c r="J117" i="143"/>
  <c r="J113" i="143"/>
  <c r="J97" i="143"/>
  <c r="J61" i="143"/>
  <c r="G40" i="139" s="1"/>
  <c r="J413" i="143"/>
  <c r="J54" i="143"/>
  <c r="K54" i="143" s="1"/>
  <c r="J355" i="143"/>
  <c r="K355" i="143" s="1"/>
  <c r="J351" i="143"/>
  <c r="J385" i="143"/>
  <c r="J265" i="143"/>
  <c r="J251" i="143"/>
  <c r="I59" i="142" l="1"/>
  <c r="H10" i="139"/>
  <c r="K59" i="142"/>
  <c r="AC355" i="143"/>
  <c r="AC358" i="143"/>
  <c r="AC115" i="143"/>
  <c r="L10" i="139"/>
  <c r="J357" i="143"/>
  <c r="G250" i="161"/>
  <c r="G252" i="161" s="1"/>
  <c r="H250" i="161"/>
  <c r="H252" i="161" s="1"/>
  <c r="K151" i="142"/>
  <c r="K10" i="139"/>
  <c r="N24" i="108"/>
  <c r="N25" i="108" s="1"/>
  <c r="N27" i="108" s="1"/>
  <c r="N50" i="108" s="1"/>
  <c r="I24" i="139"/>
  <c r="I26" i="139" s="1"/>
  <c r="I50" i="139" s="1"/>
  <c r="J281" i="143"/>
  <c r="J294" i="143" s="1"/>
  <c r="H7" i="139"/>
  <c r="M7" i="108" s="1"/>
  <c r="K11" i="142"/>
  <c r="G10" i="139"/>
  <c r="G11" i="139" s="1"/>
  <c r="K264" i="142"/>
  <c r="O97" i="142"/>
  <c r="L9" i="139" s="1"/>
  <c r="N97" i="142"/>
  <c r="K9" i="139" s="1"/>
  <c r="M11" i="108"/>
  <c r="O268" i="142"/>
  <c r="N268" i="142"/>
  <c r="O270" i="142"/>
  <c r="N270" i="142"/>
  <c r="L23" i="139" s="1"/>
  <c r="G29" i="139"/>
  <c r="L29" i="108" s="1"/>
  <c r="L40" i="108"/>
  <c r="L41" i="108" s="1"/>
  <c r="G41" i="139"/>
  <c r="I11" i="142"/>
  <c r="I24" i="142" s="1"/>
  <c r="K272" i="142"/>
  <c r="H20" i="139"/>
  <c r="M21" i="108" s="1"/>
  <c r="K242" i="142"/>
  <c r="H13" i="139" s="1"/>
  <c r="M14" i="108" s="1"/>
  <c r="H9" i="139"/>
  <c r="M9" i="108" s="1"/>
  <c r="J420" i="143"/>
  <c r="J394" i="143"/>
  <c r="J269" i="143"/>
  <c r="J56" i="143"/>
  <c r="G42" i="139" s="1"/>
  <c r="L42" i="108" s="1"/>
  <c r="I242" i="142"/>
  <c r="G13" i="139" s="1"/>
  <c r="I151" i="142"/>
  <c r="G12" i="139" s="1"/>
  <c r="L13" i="108" s="1"/>
  <c r="Q30" i="109"/>
  <c r="R30" i="109"/>
  <c r="Q26" i="109"/>
  <c r="R26" i="109"/>
  <c r="Q18" i="109"/>
  <c r="R18" i="109"/>
  <c r="G31" i="139" l="1"/>
  <c r="L31" i="108" s="1"/>
  <c r="J422" i="143"/>
  <c r="L11" i="139"/>
  <c r="J372" i="143"/>
  <c r="G37" i="139" s="1"/>
  <c r="L37" i="108" s="1"/>
  <c r="L38" i="108" s="1"/>
  <c r="G33" i="139"/>
  <c r="L33" i="108" s="1"/>
  <c r="R31" i="109"/>
  <c r="R34" i="109" s="1"/>
  <c r="K11" i="139"/>
  <c r="K20" i="139"/>
  <c r="N272" i="142"/>
  <c r="L20" i="139"/>
  <c r="O272" i="142"/>
  <c r="L11" i="108"/>
  <c r="L12" i="108" s="1"/>
  <c r="Q31" i="109"/>
  <c r="Q34" i="109" s="1"/>
  <c r="K24" i="142"/>
  <c r="L14" i="108"/>
  <c r="L19" i="108" s="1"/>
  <c r="G18" i="139"/>
  <c r="G21" i="139" s="1"/>
  <c r="G24" i="139" s="1"/>
  <c r="G26" i="139" s="1"/>
  <c r="K248" i="142"/>
  <c r="M12" i="108"/>
  <c r="H12" i="139"/>
  <c r="H11" i="139"/>
  <c r="I248" i="142"/>
  <c r="I274" i="142" s="1"/>
  <c r="J24" i="146"/>
  <c r="J34" i="146"/>
  <c r="J79" i="146"/>
  <c r="J157" i="146"/>
  <c r="J73" i="146"/>
  <c r="J68" i="146"/>
  <c r="J66" i="146"/>
  <c r="J62" i="146"/>
  <c r="J29" i="146"/>
  <c r="J21" i="146"/>
  <c r="J12" i="146"/>
  <c r="J9" i="146"/>
  <c r="J7" i="146"/>
  <c r="K41" i="148"/>
  <c r="K34" i="148"/>
  <c r="K30" i="148"/>
  <c r="J35" i="143"/>
  <c r="J51" i="143" s="1"/>
  <c r="W426" i="143"/>
  <c r="W419" i="143"/>
  <c r="W417" i="143"/>
  <c r="W416" i="143"/>
  <c r="W384" i="143"/>
  <c r="W394" i="143" s="1"/>
  <c r="W369" i="143"/>
  <c r="W370" i="143" s="1"/>
  <c r="W334" i="143"/>
  <c r="W345" i="143" s="1"/>
  <c r="W293" i="143"/>
  <c r="W292" i="143"/>
  <c r="W283" i="143"/>
  <c r="W273" i="143"/>
  <c r="W274" i="143" s="1"/>
  <c r="W281" i="143" s="1"/>
  <c r="W263" i="143"/>
  <c r="W269" i="143" s="1"/>
  <c r="W257" i="143"/>
  <c r="W261" i="143" s="1"/>
  <c r="W251" i="143"/>
  <c r="W245" i="143"/>
  <c r="W244" i="143"/>
  <c r="W243" i="143"/>
  <c r="W236" i="143"/>
  <c r="W238" i="143" s="1"/>
  <c r="W219" i="143"/>
  <c r="W218" i="143"/>
  <c r="W214" i="143"/>
  <c r="W205" i="143"/>
  <c r="W203" i="143"/>
  <c r="W202" i="143"/>
  <c r="W201" i="143"/>
  <c r="W200" i="143"/>
  <c r="W197" i="143"/>
  <c r="W198" i="143" s="1"/>
  <c r="W188" i="143"/>
  <c r="W195" i="143" s="1"/>
  <c r="W184" i="143"/>
  <c r="W175" i="143"/>
  <c r="W174" i="143"/>
  <c r="W160" i="143"/>
  <c r="W158" i="143"/>
  <c r="W151" i="143"/>
  <c r="W150" i="143"/>
  <c r="W147" i="143"/>
  <c r="W145" i="143"/>
  <c r="W141" i="143"/>
  <c r="W139" i="143"/>
  <c r="W136" i="143"/>
  <c r="W133" i="143"/>
  <c r="W125" i="143"/>
  <c r="W100" i="143"/>
  <c r="W113" i="143" s="1"/>
  <c r="W93" i="143"/>
  <c r="W83" i="143"/>
  <c r="W81" i="143"/>
  <c r="W76" i="143"/>
  <c r="W75" i="143"/>
  <c r="W71" i="143"/>
  <c r="W68" i="143"/>
  <c r="W59" i="143"/>
  <c r="W58" i="143"/>
  <c r="W48" i="143"/>
  <c r="W42" i="143"/>
  <c r="W40" i="143"/>
  <c r="W37" i="143"/>
  <c r="W29" i="143"/>
  <c r="W26" i="143"/>
  <c r="V193" i="147"/>
  <c r="J193" i="147"/>
  <c r="V148" i="147"/>
  <c r="J148" i="147"/>
  <c r="V82" i="147"/>
  <c r="J82" i="147"/>
  <c r="V7" i="147"/>
  <c r="J7" i="147"/>
  <c r="G38" i="139" l="1"/>
  <c r="W89" i="143"/>
  <c r="W97" i="143"/>
  <c r="L22" i="108"/>
  <c r="L25" i="108" s="1"/>
  <c r="L27" i="108" s="1"/>
  <c r="W35" i="143"/>
  <c r="W420" i="143"/>
  <c r="W422" i="143" s="1"/>
  <c r="W186" i="143"/>
  <c r="W79" i="143"/>
  <c r="W164" i="143"/>
  <c r="W231" i="143"/>
  <c r="W294" i="143"/>
  <c r="W372" i="143" s="1"/>
  <c r="W51" i="143"/>
  <c r="W61" i="143"/>
  <c r="W134" i="143"/>
  <c r="W255" i="143"/>
  <c r="W271" i="143" s="1"/>
  <c r="K274" i="142"/>
  <c r="M13" i="108"/>
  <c r="M19" i="108" s="1"/>
  <c r="M22" i="108" s="1"/>
  <c r="M25" i="108" s="1"/>
  <c r="M27" i="108" s="1"/>
  <c r="H18" i="139"/>
  <c r="H21" i="139" s="1"/>
  <c r="H24" i="139" s="1"/>
  <c r="H26" i="139" s="1"/>
  <c r="J63" i="143"/>
  <c r="J79" i="143" l="1"/>
  <c r="W123" i="143"/>
  <c r="W63" i="143"/>
  <c r="W240" i="143"/>
  <c r="W382" i="143" s="1"/>
  <c r="E200" i="143"/>
  <c r="E175" i="143"/>
  <c r="E163" i="143"/>
  <c r="H63" i="142"/>
  <c r="I30" i="143"/>
  <c r="X30" i="148"/>
  <c r="L30" i="148"/>
  <c r="K292" i="143" s="1"/>
  <c r="W214" i="147"/>
  <c r="K214" i="147"/>
  <c r="K191" i="147"/>
  <c r="K185" i="147"/>
  <c r="K184" i="147"/>
  <c r="I92" i="147"/>
  <c r="J92" i="147"/>
  <c r="K92" i="147"/>
  <c r="K166" i="143" s="1"/>
  <c r="V92" i="147"/>
  <c r="W92" i="147"/>
  <c r="H92" i="147"/>
  <c r="W58" i="147"/>
  <c r="K58" i="147"/>
  <c r="K139" i="143" s="1"/>
  <c r="W4" i="147"/>
  <c r="K4" i="147"/>
  <c r="K132" i="146"/>
  <c r="K129" i="146"/>
  <c r="V45" i="146"/>
  <c r="J45" i="146"/>
  <c r="V43" i="146"/>
  <c r="J43" i="146"/>
  <c r="J41" i="146"/>
  <c r="V38" i="146"/>
  <c r="J38" i="146"/>
  <c r="V36" i="146"/>
  <c r="J36" i="146"/>
  <c r="H41" i="146"/>
  <c r="H38" i="146"/>
  <c r="H36" i="146"/>
  <c r="H45" i="146"/>
  <c r="W226" i="147"/>
  <c r="V226" i="147"/>
  <c r="K226" i="147"/>
  <c r="J226" i="147"/>
  <c r="I226" i="147"/>
  <c r="E236" i="143" s="1"/>
  <c r="H226" i="147"/>
  <c r="W222" i="147"/>
  <c r="V222" i="147"/>
  <c r="K222" i="147"/>
  <c r="J222" i="147"/>
  <c r="I222" i="147"/>
  <c r="E229" i="143" s="1"/>
  <c r="H222" i="147"/>
  <c r="I219" i="147"/>
  <c r="E219" i="143" s="1"/>
  <c r="J219" i="147"/>
  <c r="K219" i="147"/>
  <c r="V219" i="147"/>
  <c r="W219" i="147"/>
  <c r="H219" i="147"/>
  <c r="J217" i="147"/>
  <c r="K217" i="147"/>
  <c r="V217" i="147"/>
  <c r="W217" i="147"/>
  <c r="I217" i="147"/>
  <c r="E218" i="143" s="1"/>
  <c r="H217" i="147"/>
  <c r="V214" i="147"/>
  <c r="J214" i="147"/>
  <c r="H214" i="147"/>
  <c r="I211" i="147"/>
  <c r="I214" i="147" s="1"/>
  <c r="E214" i="143" s="1"/>
  <c r="K209" i="147"/>
  <c r="K205" i="143" s="1"/>
  <c r="V209" i="147"/>
  <c r="W209" i="147"/>
  <c r="J209" i="147"/>
  <c r="H209" i="147"/>
  <c r="I207" i="147"/>
  <c r="I209" i="147" s="1"/>
  <c r="E205" i="143" s="1"/>
  <c r="I197" i="147"/>
  <c r="K197" i="147"/>
  <c r="K203" i="143" s="1"/>
  <c r="AC203" i="143" s="1"/>
  <c r="V197" i="147"/>
  <c r="W197" i="147"/>
  <c r="H197" i="147"/>
  <c r="I193" i="147"/>
  <c r="J195" i="147"/>
  <c r="K195" i="147"/>
  <c r="K202" i="143" s="1"/>
  <c r="V195" i="147"/>
  <c r="W195" i="147"/>
  <c r="K193" i="147"/>
  <c r="K200" i="143" s="1"/>
  <c r="I191" i="147"/>
  <c r="W189" i="147"/>
  <c r="J189" i="147"/>
  <c r="H189" i="147"/>
  <c r="I188" i="147"/>
  <c r="I189" i="147" s="1"/>
  <c r="E188" i="143" s="1"/>
  <c r="V189" i="147"/>
  <c r="W169" i="147"/>
  <c r="K169" i="147"/>
  <c r="K184" i="143" s="1"/>
  <c r="AC184" i="143" s="1"/>
  <c r="I169" i="147"/>
  <c r="W148" i="147"/>
  <c r="K148" i="147"/>
  <c r="K183" i="143" s="1"/>
  <c r="I139" i="147"/>
  <c r="I148" i="147" s="1"/>
  <c r="W137" i="147"/>
  <c r="K137" i="147"/>
  <c r="K181" i="143" s="1"/>
  <c r="AC38" i="143" s="1"/>
  <c r="I137" i="147"/>
  <c r="J137" i="147"/>
  <c r="V137" i="147"/>
  <c r="I59" i="147"/>
  <c r="V50" i="147"/>
  <c r="V48" i="147"/>
  <c r="V47" i="147"/>
  <c r="V46" i="147"/>
  <c r="V43" i="147"/>
  <c r="V42" i="147"/>
  <c r="V40" i="147"/>
  <c r="J50" i="147"/>
  <c r="J48" i="147"/>
  <c r="J47" i="147"/>
  <c r="J46" i="147"/>
  <c r="J43" i="147"/>
  <c r="J42" i="147"/>
  <c r="J40" i="147"/>
  <c r="I57" i="147"/>
  <c r="I58" i="147" s="1"/>
  <c r="I37" i="147"/>
  <c r="J21" i="148"/>
  <c r="J20" i="148"/>
  <c r="J6" i="148"/>
  <c r="I157" i="146"/>
  <c r="I69" i="146"/>
  <c r="K33" i="146"/>
  <c r="I25" i="146"/>
  <c r="I33" i="146"/>
  <c r="K10" i="146"/>
  <c r="J123" i="143" l="1"/>
  <c r="AC292" i="143"/>
  <c r="AC62" i="143"/>
  <c r="AC205" i="143"/>
  <c r="AC49" i="143"/>
  <c r="AC202" i="143"/>
  <c r="AC47" i="143"/>
  <c r="AC139" i="143"/>
  <c r="AC21" i="143"/>
  <c r="W424" i="143"/>
  <c r="W427" i="143" s="1"/>
  <c r="J25" i="148"/>
  <c r="O63" i="142"/>
  <c r="N63" i="142"/>
  <c r="K229" i="143"/>
  <c r="AC53" i="143" s="1"/>
  <c r="K218" i="143"/>
  <c r="K214" i="143"/>
  <c r="I200" i="143"/>
  <c r="AC200" i="143" s="1"/>
  <c r="K197" i="143"/>
  <c r="K219" i="143"/>
  <c r="K236" i="143"/>
  <c r="V58" i="147"/>
  <c r="J58" i="147"/>
  <c r="W122" i="147"/>
  <c r="K122" i="147"/>
  <c r="K175" i="143" s="1"/>
  <c r="AC175" i="143" s="1"/>
  <c r="I122" i="147"/>
  <c r="I120" i="147"/>
  <c r="K120" i="147"/>
  <c r="K174" i="143" s="1"/>
  <c r="W120" i="147"/>
  <c r="J100" i="147"/>
  <c r="K100" i="147"/>
  <c r="V100" i="147"/>
  <c r="W100" i="147"/>
  <c r="I100" i="147"/>
  <c r="X34" i="148"/>
  <c r="L34" i="148"/>
  <c r="K293" i="143" s="1"/>
  <c r="AC293" i="143" s="1"/>
  <c r="J34" i="148"/>
  <c r="J167" i="142"/>
  <c r="W25" i="148"/>
  <c r="K25" i="148"/>
  <c r="K42" i="148" s="1"/>
  <c r="X25" i="148"/>
  <c r="L25" i="148"/>
  <c r="K283" i="143" s="1"/>
  <c r="AC283" i="143" s="1"/>
  <c r="W79" i="146"/>
  <c r="K79" i="146"/>
  <c r="V79" i="146"/>
  <c r="I79" i="146"/>
  <c r="H79" i="146"/>
  <c r="K30" i="146"/>
  <c r="K25" i="146"/>
  <c r="K27" i="146" s="1"/>
  <c r="K8" i="146"/>
  <c r="J164" i="143" l="1"/>
  <c r="AC45" i="143"/>
  <c r="AC46" i="143"/>
  <c r="AC174" i="143"/>
  <c r="AC36" i="143"/>
  <c r="AC219" i="143"/>
  <c r="AC52" i="143"/>
  <c r="AC236" i="143"/>
  <c r="AC238" i="143" s="1"/>
  <c r="AC54" i="143"/>
  <c r="AC214" i="143"/>
  <c r="AC50" i="143"/>
  <c r="K37" i="143"/>
  <c r="K263" i="143"/>
  <c r="K173" i="143"/>
  <c r="K47" i="146"/>
  <c r="I47" i="146"/>
  <c r="J47" i="146"/>
  <c r="V47" i="146"/>
  <c r="W47" i="146"/>
  <c r="H47" i="146"/>
  <c r="J186" i="143" l="1"/>
  <c r="J240" i="143" s="1"/>
  <c r="AC263" i="143"/>
  <c r="AC59" i="143"/>
  <c r="AC37" i="143"/>
  <c r="AC8" i="143"/>
  <c r="K81" i="143"/>
  <c r="J81" i="142"/>
  <c r="J255" i="143" l="1"/>
  <c r="G34" i="139"/>
  <c r="K89" i="143"/>
  <c r="AC81" i="143"/>
  <c r="I141" i="151"/>
  <c r="D141" i="151"/>
  <c r="E141" i="151"/>
  <c r="J42" i="151"/>
  <c r="K42" i="151"/>
  <c r="L42" i="151"/>
  <c r="M42" i="151"/>
  <c r="N42" i="151"/>
  <c r="O42" i="151"/>
  <c r="P42" i="151"/>
  <c r="Q42" i="151"/>
  <c r="R42" i="151"/>
  <c r="S42" i="151"/>
  <c r="S149" i="151"/>
  <c r="R149" i="151"/>
  <c r="Q149" i="151"/>
  <c r="P149" i="151"/>
  <c r="S148" i="151"/>
  <c r="R148" i="151"/>
  <c r="Q148" i="151"/>
  <c r="P148" i="151"/>
  <c r="O148" i="151"/>
  <c r="N148" i="151"/>
  <c r="M148" i="151"/>
  <c r="L148" i="151"/>
  <c r="K148" i="151"/>
  <c r="J148" i="151"/>
  <c r="F144" i="151"/>
  <c r="G144" i="151" s="1"/>
  <c r="G142" i="151"/>
  <c r="F140" i="151"/>
  <c r="G140" i="151" s="1"/>
  <c r="G141" i="151" s="1"/>
  <c r="F139" i="151"/>
  <c r="G139" i="151" s="1"/>
  <c r="I138" i="151"/>
  <c r="E138" i="151"/>
  <c r="F137" i="151"/>
  <c r="G137" i="151" s="1"/>
  <c r="D137" i="151"/>
  <c r="D138" i="151" s="1"/>
  <c r="H136" i="151"/>
  <c r="G136" i="151"/>
  <c r="H135" i="151"/>
  <c r="F135" i="151"/>
  <c r="G135" i="151" s="1"/>
  <c r="G134" i="151"/>
  <c r="I133" i="151"/>
  <c r="H133" i="151"/>
  <c r="E133" i="151"/>
  <c r="D133" i="151"/>
  <c r="F132" i="151"/>
  <c r="G132" i="151" s="1"/>
  <c r="F131" i="151"/>
  <c r="G130" i="151"/>
  <c r="G129" i="151"/>
  <c r="F127" i="151"/>
  <c r="G127" i="151" s="1"/>
  <c r="I126" i="151"/>
  <c r="E126" i="151"/>
  <c r="F125" i="151"/>
  <c r="F126" i="151" s="1"/>
  <c r="H124" i="151"/>
  <c r="H126" i="151" s="1"/>
  <c r="G124" i="151"/>
  <c r="D124" i="151"/>
  <c r="G123" i="151"/>
  <c r="D123" i="151"/>
  <c r="G122" i="151"/>
  <c r="I121" i="151"/>
  <c r="H121" i="151"/>
  <c r="E121" i="151"/>
  <c r="D121" i="151"/>
  <c r="F120" i="151"/>
  <c r="G120" i="151" s="1"/>
  <c r="G121" i="151" s="1"/>
  <c r="F119" i="151"/>
  <c r="G119" i="151" s="1"/>
  <c r="F117" i="151"/>
  <c r="G117" i="151" s="1"/>
  <c r="I116" i="151"/>
  <c r="I118" i="151" s="1"/>
  <c r="H116" i="151"/>
  <c r="H118" i="151" s="1"/>
  <c r="E116" i="151"/>
  <c r="E118" i="151" s="1"/>
  <c r="D116" i="151"/>
  <c r="D118" i="151" s="1"/>
  <c r="F115" i="151"/>
  <c r="G115" i="151" s="1"/>
  <c r="F114" i="151"/>
  <c r="G114" i="151" s="1"/>
  <c r="F113" i="151"/>
  <c r="G113" i="151" s="1"/>
  <c r="F112" i="151"/>
  <c r="G112" i="151" s="1"/>
  <c r="F111" i="151"/>
  <c r="G111" i="151" s="1"/>
  <c r="F109" i="151"/>
  <c r="G109" i="151" s="1"/>
  <c r="E108" i="151"/>
  <c r="F107" i="151"/>
  <c r="G107" i="151" s="1"/>
  <c r="F106" i="151"/>
  <c r="G106" i="151" s="1"/>
  <c r="I108" i="151"/>
  <c r="H108" i="151"/>
  <c r="D108" i="151"/>
  <c r="F105" i="151"/>
  <c r="G105" i="151" s="1"/>
  <c r="E104" i="151"/>
  <c r="F103" i="151"/>
  <c r="G103" i="151" s="1"/>
  <c r="F102" i="151"/>
  <c r="G102" i="151" s="1"/>
  <c r="D102" i="151"/>
  <c r="F101" i="151"/>
  <c r="G101" i="151" s="1"/>
  <c r="I104" i="151"/>
  <c r="H104" i="151"/>
  <c r="F100" i="151"/>
  <c r="G100" i="151" s="1"/>
  <c r="F98" i="151"/>
  <c r="G98" i="151" s="1"/>
  <c r="F97" i="151"/>
  <c r="G97" i="151" s="1"/>
  <c r="F96" i="151"/>
  <c r="G96" i="151" s="1"/>
  <c r="F95" i="151"/>
  <c r="G95" i="151" s="1"/>
  <c r="F94" i="151"/>
  <c r="G94" i="151" s="1"/>
  <c r="F93" i="151"/>
  <c r="G93" i="151" s="1"/>
  <c r="F92" i="151"/>
  <c r="G92" i="151" s="1"/>
  <c r="F91" i="151"/>
  <c r="G91" i="151" s="1"/>
  <c r="D91" i="151"/>
  <c r="I90" i="151"/>
  <c r="H90" i="151"/>
  <c r="F90" i="151"/>
  <c r="F89" i="151"/>
  <c r="G89" i="151" s="1"/>
  <c r="F88" i="151"/>
  <c r="G88" i="151" s="1"/>
  <c r="G86" i="151"/>
  <c r="I85" i="151"/>
  <c r="H85" i="151"/>
  <c r="E85" i="151"/>
  <c r="D85" i="151"/>
  <c r="F84" i="151"/>
  <c r="F85" i="151" s="1"/>
  <c r="G83" i="151"/>
  <c r="I82" i="151"/>
  <c r="F82" i="151"/>
  <c r="E82" i="151"/>
  <c r="D82" i="151"/>
  <c r="G81" i="151"/>
  <c r="H80" i="151"/>
  <c r="H82" i="151" s="1"/>
  <c r="G80" i="151"/>
  <c r="G79" i="151"/>
  <c r="F77" i="151"/>
  <c r="G77" i="151" s="1"/>
  <c r="H76" i="151"/>
  <c r="F76" i="151"/>
  <c r="G76" i="151" s="1"/>
  <c r="H75" i="151"/>
  <c r="F75" i="151"/>
  <c r="G75" i="151" s="1"/>
  <c r="E74" i="151"/>
  <c r="D74" i="151"/>
  <c r="F73" i="151"/>
  <c r="G73" i="151" s="1"/>
  <c r="E72" i="151"/>
  <c r="H71" i="151"/>
  <c r="F71" i="151"/>
  <c r="G71" i="151" s="1"/>
  <c r="H70" i="151"/>
  <c r="F70" i="151"/>
  <c r="G70" i="151" s="1"/>
  <c r="D70" i="151"/>
  <c r="F69" i="151"/>
  <c r="G69" i="151" s="1"/>
  <c r="I78" i="151"/>
  <c r="F68" i="151"/>
  <c r="G67" i="151"/>
  <c r="E66" i="151"/>
  <c r="G65" i="151"/>
  <c r="G64" i="151"/>
  <c r="F63" i="151"/>
  <c r="G63" i="151" s="1"/>
  <c r="I62" i="151"/>
  <c r="H62" i="151"/>
  <c r="F62" i="151"/>
  <c r="G62" i="151" s="1"/>
  <c r="D62" i="151"/>
  <c r="F61" i="151"/>
  <c r="G61" i="151" s="1"/>
  <c r="F60" i="151"/>
  <c r="G60" i="151" s="1"/>
  <c r="E59" i="151"/>
  <c r="F58" i="151"/>
  <c r="G58" i="151" s="1"/>
  <c r="D58" i="151"/>
  <c r="D59" i="151" s="1"/>
  <c r="F57" i="151"/>
  <c r="G57" i="151" s="1"/>
  <c r="H56" i="151"/>
  <c r="F56" i="151"/>
  <c r="G56" i="151" s="1"/>
  <c r="F55" i="151"/>
  <c r="G55" i="151" s="1"/>
  <c r="I54" i="151"/>
  <c r="I59" i="151" s="1"/>
  <c r="H54" i="151"/>
  <c r="F54" i="151"/>
  <c r="F53" i="151"/>
  <c r="G53" i="151" s="1"/>
  <c r="F51" i="151"/>
  <c r="G51" i="151" s="1"/>
  <c r="H50" i="151"/>
  <c r="F50" i="151"/>
  <c r="G50" i="151" s="1"/>
  <c r="F49" i="151"/>
  <c r="G49" i="151" s="1"/>
  <c r="F48" i="151"/>
  <c r="G48" i="151" s="1"/>
  <c r="H47" i="151"/>
  <c r="F47" i="151"/>
  <c r="G47" i="151" s="1"/>
  <c r="D47" i="151"/>
  <c r="F46" i="151"/>
  <c r="G46" i="151" s="1"/>
  <c r="D46" i="151"/>
  <c r="F45" i="151"/>
  <c r="G45" i="151" s="1"/>
  <c r="D45" i="151"/>
  <c r="H44" i="151"/>
  <c r="F44" i="151"/>
  <c r="G44" i="151" s="1"/>
  <c r="D44" i="151"/>
  <c r="F43" i="151"/>
  <c r="G43" i="151" s="1"/>
  <c r="F41" i="151"/>
  <c r="G41" i="151" s="1"/>
  <c r="F40" i="151"/>
  <c r="G40" i="151" s="1"/>
  <c r="F39" i="151"/>
  <c r="G39" i="151" s="1"/>
  <c r="F37" i="151"/>
  <c r="G37" i="151" s="1"/>
  <c r="F36" i="151"/>
  <c r="G36" i="151" s="1"/>
  <c r="I35" i="151"/>
  <c r="H35" i="151"/>
  <c r="F35" i="151"/>
  <c r="G35" i="151" s="1"/>
  <c r="D35" i="151"/>
  <c r="F34" i="151"/>
  <c r="G34" i="151" s="1"/>
  <c r="F33" i="151"/>
  <c r="G33" i="151" s="1"/>
  <c r="F32" i="151"/>
  <c r="G32" i="151" s="1"/>
  <c r="F31" i="151"/>
  <c r="G31" i="151" s="1"/>
  <c r="F30" i="151"/>
  <c r="G30" i="151" s="1"/>
  <c r="D30" i="151"/>
  <c r="I29" i="151"/>
  <c r="H29" i="151"/>
  <c r="F29" i="151"/>
  <c r="G29" i="151" s="1"/>
  <c r="D29" i="151"/>
  <c r="F28" i="151"/>
  <c r="G28" i="151" s="1"/>
  <c r="F27" i="151"/>
  <c r="G27" i="151" s="1"/>
  <c r="E26" i="151"/>
  <c r="E38" i="151" s="1"/>
  <c r="F25" i="151"/>
  <c r="G25" i="151" s="1"/>
  <c r="F24" i="151"/>
  <c r="G24" i="151" s="1"/>
  <c r="I23" i="151"/>
  <c r="H23" i="151"/>
  <c r="F23" i="151"/>
  <c r="G23" i="151" s="1"/>
  <c r="D23" i="151"/>
  <c r="F22" i="151"/>
  <c r="G22" i="151" s="1"/>
  <c r="F21" i="151"/>
  <c r="G21" i="151" s="1"/>
  <c r="F20" i="151"/>
  <c r="G20" i="151" s="1"/>
  <c r="F19" i="151"/>
  <c r="G19" i="151" s="1"/>
  <c r="F18" i="151"/>
  <c r="G18" i="151" s="1"/>
  <c r="G17" i="151"/>
  <c r="F17" i="151" s="1"/>
  <c r="F16" i="151"/>
  <c r="G16" i="151" s="1"/>
  <c r="F15" i="151"/>
  <c r="G15" i="151" s="1"/>
  <c r="F14" i="151"/>
  <c r="G14" i="151" s="1"/>
  <c r="H13" i="151"/>
  <c r="F13" i="151"/>
  <c r="G13" i="151" s="1"/>
  <c r="F12" i="151"/>
  <c r="G12" i="151" s="1"/>
  <c r="F11" i="151"/>
  <c r="G11" i="151" s="1"/>
  <c r="F10" i="151"/>
  <c r="G10" i="151" s="1"/>
  <c r="K9" i="151"/>
  <c r="G9" i="151"/>
  <c r="F9" i="151" s="1"/>
  <c r="L8" i="151"/>
  <c r="F8" i="151"/>
  <c r="G8" i="151" s="1"/>
  <c r="F7" i="151"/>
  <c r="G7" i="151" s="1"/>
  <c r="F6" i="151"/>
  <c r="G6" i="151" s="1"/>
  <c r="F5" i="151"/>
  <c r="G5" i="151" s="1"/>
  <c r="F4" i="151"/>
  <c r="F3" i="151"/>
  <c r="G3" i="151" s="1"/>
  <c r="D9" i="150"/>
  <c r="D14" i="150"/>
  <c r="D24" i="150"/>
  <c r="D28" i="150"/>
  <c r="D31" i="150"/>
  <c r="E36" i="150"/>
  <c r="F36" i="150"/>
  <c r="D39" i="150"/>
  <c r="D42" i="150"/>
  <c r="D45" i="150"/>
  <c r="D50" i="150"/>
  <c r="D52" i="150" s="1"/>
  <c r="D58" i="150"/>
  <c r="E61" i="150"/>
  <c r="E62" i="150" s="1"/>
  <c r="C62" i="150"/>
  <c r="D62" i="150"/>
  <c r="F62" i="150"/>
  <c r="D69" i="150"/>
  <c r="L34" i="108" l="1"/>
  <c r="L35" i="108" s="1"/>
  <c r="G35" i="139"/>
  <c r="D64" i="150"/>
  <c r="E143" i="151"/>
  <c r="F141" i="151"/>
  <c r="D34" i="150"/>
  <c r="D47" i="150"/>
  <c r="D55" i="150" s="1"/>
  <c r="D17" i="150"/>
  <c r="E42" i="151"/>
  <c r="D143" i="151"/>
  <c r="H66" i="151"/>
  <c r="D104" i="151"/>
  <c r="F108" i="151"/>
  <c r="E52" i="151"/>
  <c r="E78" i="151"/>
  <c r="M8" i="151"/>
  <c r="H137" i="151"/>
  <c r="H138" i="151" s="1"/>
  <c r="I143" i="151"/>
  <c r="D26" i="151"/>
  <c r="T38" i="151"/>
  <c r="G84" i="151"/>
  <c r="G85" i="151" s="1"/>
  <c r="F116" i="151"/>
  <c r="F118" i="151" s="1"/>
  <c r="G138" i="151"/>
  <c r="F26" i="151"/>
  <c r="F59" i="151"/>
  <c r="D66" i="151"/>
  <c r="I66" i="151"/>
  <c r="F74" i="151"/>
  <c r="G74" i="151" s="1"/>
  <c r="F104" i="151"/>
  <c r="H26" i="151"/>
  <c r="G54" i="151"/>
  <c r="G59" i="151" s="1"/>
  <c r="H78" i="151"/>
  <c r="D78" i="151"/>
  <c r="G82" i="151"/>
  <c r="D126" i="151"/>
  <c r="G125" i="151"/>
  <c r="G126" i="151" s="1"/>
  <c r="F66" i="151"/>
  <c r="H59" i="151"/>
  <c r="I99" i="151"/>
  <c r="G116" i="151"/>
  <c r="G118" i="151" s="1"/>
  <c r="G66" i="151"/>
  <c r="T26" i="151"/>
  <c r="I26" i="151"/>
  <c r="G4" i="151"/>
  <c r="G68" i="151"/>
  <c r="F72" i="151"/>
  <c r="G72" i="151" s="1"/>
  <c r="I110" i="151"/>
  <c r="I128" i="151" s="1"/>
  <c r="F133" i="151"/>
  <c r="G131" i="151"/>
  <c r="G133" i="151" s="1"/>
  <c r="F138" i="151"/>
  <c r="G90" i="151"/>
  <c r="F121" i="151"/>
  <c r="G104" i="151"/>
  <c r="Z223" i="147"/>
  <c r="Z222" i="147"/>
  <c r="Z221" i="147"/>
  <c r="Z28" i="147"/>
  <c r="Z33" i="146"/>
  <c r="Z46" i="147"/>
  <c r="Z185" i="147"/>
  <c r="Z127" i="147"/>
  <c r="Z126" i="147"/>
  <c r="Z125" i="147"/>
  <c r="Z143" i="147"/>
  <c r="Z35" i="147"/>
  <c r="Z160" i="147"/>
  <c r="Z122" i="147"/>
  <c r="Z135" i="147"/>
  <c r="Z67" i="147"/>
  <c r="Z65" i="147"/>
  <c r="D66" i="150" l="1"/>
  <c r="D70" i="150" s="1"/>
  <c r="T42" i="151"/>
  <c r="G143" i="151"/>
  <c r="H141" i="151"/>
  <c r="H143" i="151" s="1"/>
  <c r="F143" i="151"/>
  <c r="D38" i="151"/>
  <c r="D52" i="151" s="1"/>
  <c r="D87" i="151" s="1"/>
  <c r="H38" i="151"/>
  <c r="H42" i="151" s="1"/>
  <c r="I38" i="151"/>
  <c r="I42" i="151" s="1"/>
  <c r="F38" i="151"/>
  <c r="F42" i="151" s="1"/>
  <c r="E87" i="151"/>
  <c r="E99" i="151" s="1"/>
  <c r="E110" i="151" s="1"/>
  <c r="G26" i="151"/>
  <c r="K8" i="151"/>
  <c r="H52" i="151"/>
  <c r="H87" i="151" s="1"/>
  <c r="H99" i="151" s="1"/>
  <c r="H110" i="151" s="1"/>
  <c r="H128" i="151" s="1"/>
  <c r="F52" i="151"/>
  <c r="F78" i="151"/>
  <c r="G78" i="151"/>
  <c r="T110" i="151"/>
  <c r="G108" i="151"/>
  <c r="D42" i="151" l="1"/>
  <c r="G38" i="151"/>
  <c r="T52" i="151" s="1"/>
  <c r="E128" i="151"/>
  <c r="E145" i="151" s="1"/>
  <c r="F87" i="151"/>
  <c r="F99" i="151" s="1"/>
  <c r="F110" i="151" s="1"/>
  <c r="G52" i="151"/>
  <c r="G87" i="151" s="1"/>
  <c r="G99" i="151" s="1"/>
  <c r="G110" i="151" s="1"/>
  <c r="U38" i="151"/>
  <c r="U26" i="151"/>
  <c r="I52" i="151"/>
  <c r="I87" i="151" s="1"/>
  <c r="I145" i="151" s="1"/>
  <c r="D99" i="151"/>
  <c r="D110" i="151" s="1"/>
  <c r="D128" i="151" s="1"/>
  <c r="H145" i="151"/>
  <c r="G384" i="143"/>
  <c r="U42" i="151" l="1"/>
  <c r="G42" i="151"/>
  <c r="G128" i="151"/>
  <c r="F128" i="151"/>
  <c r="F145" i="151" s="1"/>
  <c r="D145" i="151"/>
  <c r="G407" i="143"/>
  <c r="G259" i="143"/>
  <c r="G222" i="143"/>
  <c r="G221" i="143"/>
  <c r="G220" i="143"/>
  <c r="G201" i="143"/>
  <c r="G190" i="143"/>
  <c r="G159" i="143"/>
  <c r="G154" i="143"/>
  <c r="G151" i="143"/>
  <c r="G145" i="143"/>
  <c r="G86" i="143"/>
  <c r="G83" i="143"/>
  <c r="G69" i="143"/>
  <c r="H21" i="143"/>
  <c r="H9" i="143"/>
  <c r="G9" i="143" s="1"/>
  <c r="G145" i="151" l="1"/>
  <c r="G21" i="143"/>
  <c r="G179" i="143"/>
  <c r="G178" i="143"/>
  <c r="G177" i="143"/>
  <c r="G48" i="143"/>
  <c r="F252" i="142"/>
  <c r="G252" i="142" s="1"/>
  <c r="F254" i="142"/>
  <c r="G254" i="142" s="1"/>
  <c r="G253" i="142"/>
  <c r="F253" i="142" s="1"/>
  <c r="G255" i="142"/>
  <c r="F255" i="142" s="1"/>
  <c r="G251" i="142"/>
  <c r="F251" i="142" s="1"/>
  <c r="F244" i="142"/>
  <c r="F172" i="142"/>
  <c r="F69" i="142"/>
  <c r="G3" i="143"/>
  <c r="H58" i="143"/>
  <c r="H415" i="143"/>
  <c r="G415" i="143" l="1"/>
  <c r="G416" i="143"/>
  <c r="G417" i="143"/>
  <c r="G414" i="143"/>
  <c r="G409" i="143"/>
  <c r="G406" i="143"/>
  <c r="G405" i="143"/>
  <c r="G404" i="143"/>
  <c r="G397" i="143"/>
  <c r="G396" i="143"/>
  <c r="G391" i="143"/>
  <c r="G385" i="143"/>
  <c r="G386" i="143"/>
  <c r="G387" i="143"/>
  <c r="G388" i="143"/>
  <c r="G389" i="143"/>
  <c r="G392" i="143"/>
  <c r="G379" i="143"/>
  <c r="G374" i="143"/>
  <c r="G375" i="143" s="1"/>
  <c r="G293" i="143"/>
  <c r="G292" i="143"/>
  <c r="G283" i="143"/>
  <c r="G273" i="143"/>
  <c r="G263" i="143"/>
  <c r="G257" i="143"/>
  <c r="G251" i="143"/>
  <c r="G245" i="143"/>
  <c r="G244" i="143"/>
  <c r="G370" i="143"/>
  <c r="G360" i="143"/>
  <c r="G361" i="143"/>
  <c r="G362" i="143"/>
  <c r="G359" i="143"/>
  <c r="G348" i="143"/>
  <c r="G349" i="143"/>
  <c r="G352" i="143"/>
  <c r="G353" i="143"/>
  <c r="G354" i="143"/>
  <c r="G355" i="143"/>
  <c r="G347" i="143"/>
  <c r="G344" i="143"/>
  <c r="G332" i="143"/>
  <c r="G333" i="143"/>
  <c r="G334" i="143"/>
  <c r="G335" i="143"/>
  <c r="G336" i="143"/>
  <c r="G337" i="143"/>
  <c r="G338" i="143"/>
  <c r="G339" i="143"/>
  <c r="G340" i="143"/>
  <c r="G341" i="143"/>
  <c r="G342" i="143"/>
  <c r="G318" i="143"/>
  <c r="G319" i="143"/>
  <c r="G320" i="143"/>
  <c r="G321" i="143"/>
  <c r="G322" i="143"/>
  <c r="G323" i="143"/>
  <c r="G324" i="143"/>
  <c r="G316" i="143"/>
  <c r="G304" i="143"/>
  <c r="G305" i="143"/>
  <c r="G306" i="143"/>
  <c r="G307" i="143"/>
  <c r="G308" i="143"/>
  <c r="G309" i="143"/>
  <c r="G311" i="143"/>
  <c r="G312" i="143"/>
  <c r="G303" i="143"/>
  <c r="G298" i="143"/>
  <c r="G299" i="143"/>
  <c r="G300" i="143"/>
  <c r="G297" i="143"/>
  <c r="G284" i="143"/>
  <c r="G285" i="143"/>
  <c r="G286" i="143"/>
  <c r="G287" i="143"/>
  <c r="G288" i="143"/>
  <c r="G289" i="143"/>
  <c r="G291" i="143"/>
  <c r="G278" i="143"/>
  <c r="G277" i="143"/>
  <c r="G276" i="143"/>
  <c r="G265" i="143"/>
  <c r="G264" i="143"/>
  <c r="G258" i="143"/>
  <c r="G398" i="143"/>
  <c r="G243" i="143"/>
  <c r="G246" i="143"/>
  <c r="G247" i="143"/>
  <c r="G248" i="143"/>
  <c r="G249" i="143"/>
  <c r="G250" i="143"/>
  <c r="G252" i="143"/>
  <c r="G253" i="143"/>
  <c r="G254" i="143"/>
  <c r="G242" i="143"/>
  <c r="G236" i="143"/>
  <c r="G237" i="143"/>
  <c r="G234" i="143"/>
  <c r="G233" i="143"/>
  <c r="G230" i="143"/>
  <c r="G223" i="143"/>
  <c r="G224" i="143"/>
  <c r="G225" i="143"/>
  <c r="G226" i="143"/>
  <c r="G227" i="143"/>
  <c r="G228" i="143"/>
  <c r="G216" i="143"/>
  <c r="G215" i="143"/>
  <c r="G208" i="143"/>
  <c r="G209" i="143"/>
  <c r="G210" i="143"/>
  <c r="G211" i="143"/>
  <c r="G212" i="143"/>
  <c r="G207" i="143"/>
  <c r="G206" i="143"/>
  <c r="G204" i="143"/>
  <c r="G194" i="143"/>
  <c r="G193" i="143"/>
  <c r="G192" i="143"/>
  <c r="G191" i="143"/>
  <c r="G189" i="143"/>
  <c r="G229" i="143"/>
  <c r="G219" i="143"/>
  <c r="G218" i="143"/>
  <c r="G214" i="143"/>
  <c r="G205" i="143"/>
  <c r="G203" i="143"/>
  <c r="G202" i="143"/>
  <c r="G200" i="143"/>
  <c r="G197" i="143"/>
  <c r="G188" i="143"/>
  <c r="G184" i="143"/>
  <c r="G183" i="143"/>
  <c r="G181" i="143"/>
  <c r="G175" i="143"/>
  <c r="G174" i="143"/>
  <c r="G173" i="143"/>
  <c r="G166" i="143"/>
  <c r="G180" i="143"/>
  <c r="G167" i="143"/>
  <c r="G168" i="143"/>
  <c r="G169" i="143"/>
  <c r="G171" i="143"/>
  <c r="G172" i="143"/>
  <c r="G163" i="143"/>
  <c r="G160" i="143"/>
  <c r="G158" i="143"/>
  <c r="G157" i="143"/>
  <c r="G153" i="143"/>
  <c r="G141" i="143"/>
  <c r="G140" i="143"/>
  <c r="G139" i="143"/>
  <c r="G136" i="143"/>
  <c r="G137" i="143"/>
  <c r="G146" i="143"/>
  <c r="G147" i="143"/>
  <c r="G148" i="143"/>
  <c r="G149" i="143"/>
  <c r="G150" i="143"/>
  <c r="G155" i="143"/>
  <c r="G156" i="143"/>
  <c r="G132" i="143"/>
  <c r="G133" i="143"/>
  <c r="G125" i="143"/>
  <c r="G126" i="143"/>
  <c r="G100" i="143"/>
  <c r="G101" i="143"/>
  <c r="G102" i="143"/>
  <c r="G103" i="143"/>
  <c r="G110" i="143"/>
  <c r="G109" i="143"/>
  <c r="G111" i="143"/>
  <c r="G112" i="143"/>
  <c r="G99" i="143"/>
  <c r="G91" i="143"/>
  <c r="G92" i="143"/>
  <c r="G93" i="143"/>
  <c r="G95" i="143"/>
  <c r="G84" i="143"/>
  <c r="G85" i="143"/>
  <c r="G87" i="143"/>
  <c r="G76" i="143"/>
  <c r="H76" i="143" s="1"/>
  <c r="G75" i="143"/>
  <c r="G71" i="143"/>
  <c r="G68" i="143"/>
  <c r="G67" i="143"/>
  <c r="G66" i="143"/>
  <c r="G70" i="143"/>
  <c r="G77" i="143"/>
  <c r="G78" i="143"/>
  <c r="G65" i="143"/>
  <c r="G61" i="143"/>
  <c r="G55" i="143"/>
  <c r="G54" i="143"/>
  <c r="G53" i="143"/>
  <c r="G42" i="143"/>
  <c r="G40" i="143"/>
  <c r="G37" i="143"/>
  <c r="G38" i="143"/>
  <c r="G39" i="143"/>
  <c r="G43" i="143"/>
  <c r="G44" i="143"/>
  <c r="G45" i="143"/>
  <c r="G46" i="143"/>
  <c r="G47" i="143"/>
  <c r="G49" i="143"/>
  <c r="G50" i="143"/>
  <c r="G27" i="143"/>
  <c r="G26" i="143"/>
  <c r="G20" i="143"/>
  <c r="G22" i="143"/>
  <c r="G23" i="143"/>
  <c r="G24" i="143"/>
  <c r="G28" i="143"/>
  <c r="G29" i="143"/>
  <c r="G30" i="143"/>
  <c r="G31" i="143"/>
  <c r="G19" i="143"/>
  <c r="G18" i="143"/>
  <c r="G17" i="143"/>
  <c r="G16" i="143"/>
  <c r="G15" i="143"/>
  <c r="G14" i="143"/>
  <c r="G13" i="143"/>
  <c r="G12" i="143"/>
  <c r="G11" i="143"/>
  <c r="G10" i="143"/>
  <c r="H10" i="143" s="1"/>
  <c r="G5" i="143"/>
  <c r="G6" i="143"/>
  <c r="G7" i="143"/>
  <c r="G8" i="143"/>
  <c r="G4" i="143"/>
  <c r="G36" i="143"/>
  <c r="G52" i="143"/>
  <c r="G57" i="143"/>
  <c r="G62" i="143"/>
  <c r="G64" i="143"/>
  <c r="G80" i="143"/>
  <c r="G90" i="143"/>
  <c r="G117" i="143"/>
  <c r="G120" i="143"/>
  <c r="G121" i="143" s="1"/>
  <c r="G187" i="143"/>
  <c r="G196" i="143"/>
  <c r="G199" i="143"/>
  <c r="G239" i="143"/>
  <c r="G241" i="143"/>
  <c r="G256" i="143"/>
  <c r="G262" i="143"/>
  <c r="G270" i="143"/>
  <c r="G272" i="143"/>
  <c r="G275" i="143"/>
  <c r="G280" i="143"/>
  <c r="G282" i="143"/>
  <c r="G295" i="143"/>
  <c r="G296" i="143"/>
  <c r="G302" i="143"/>
  <c r="G315" i="143"/>
  <c r="G373" i="143"/>
  <c r="G381" i="143"/>
  <c r="G411" i="143"/>
  <c r="G412" i="143"/>
  <c r="G423" i="143"/>
  <c r="F20" i="142"/>
  <c r="G20" i="142" s="1"/>
  <c r="G3" i="142"/>
  <c r="F3" i="142" s="1"/>
  <c r="G8" i="142"/>
  <c r="F8" i="142" s="1"/>
  <c r="G4" i="142"/>
  <c r="F4" i="142" s="1"/>
  <c r="F256" i="142"/>
  <c r="F239" i="142"/>
  <c r="F230" i="142"/>
  <c r="F231" i="142"/>
  <c r="F232" i="142"/>
  <c r="F233" i="142"/>
  <c r="F234" i="142"/>
  <c r="F229" i="142"/>
  <c r="F217" i="142"/>
  <c r="F218" i="142"/>
  <c r="F220" i="142"/>
  <c r="F221" i="142"/>
  <c r="F222" i="142"/>
  <c r="F223" i="142"/>
  <c r="F224" i="142"/>
  <c r="F212" i="142"/>
  <c r="F205" i="142"/>
  <c r="F206" i="142"/>
  <c r="F207" i="142"/>
  <c r="F208" i="142"/>
  <c r="F209" i="142"/>
  <c r="F210" i="142"/>
  <c r="F211" i="142"/>
  <c r="F202" i="142"/>
  <c r="F191" i="142"/>
  <c r="F192" i="142"/>
  <c r="F193" i="142"/>
  <c r="F194" i="142"/>
  <c r="F195" i="142"/>
  <c r="F196" i="142"/>
  <c r="F197" i="142"/>
  <c r="F198" i="142"/>
  <c r="F190" i="142"/>
  <c r="F179" i="142"/>
  <c r="F180" i="142"/>
  <c r="F182" i="142"/>
  <c r="F183" i="142"/>
  <c r="F185" i="142"/>
  <c r="F178" i="142"/>
  <c r="F175" i="142"/>
  <c r="F174" i="142"/>
  <c r="F173" i="142"/>
  <c r="F169" i="142"/>
  <c r="F167" i="142"/>
  <c r="F155" i="142"/>
  <c r="F143" i="142"/>
  <c r="F145" i="142"/>
  <c r="F146" i="142"/>
  <c r="F148" i="142"/>
  <c r="F130" i="142"/>
  <c r="F132" i="142"/>
  <c r="F133" i="142"/>
  <c r="F134" i="142"/>
  <c r="F135" i="142"/>
  <c r="F136" i="142"/>
  <c r="F138" i="142"/>
  <c r="F139" i="142"/>
  <c r="F140" i="142"/>
  <c r="F141" i="142"/>
  <c r="F142" i="142"/>
  <c r="F129" i="142"/>
  <c r="F125" i="142"/>
  <c r="F123" i="142"/>
  <c r="F120" i="142"/>
  <c r="F104" i="142"/>
  <c r="F105" i="142"/>
  <c r="F106" i="142"/>
  <c r="F107" i="142"/>
  <c r="F108" i="142"/>
  <c r="F109" i="142"/>
  <c r="F110" i="142"/>
  <c r="F111" i="142"/>
  <c r="F112" i="142"/>
  <c r="F92" i="142"/>
  <c r="F93" i="142"/>
  <c r="F94" i="142"/>
  <c r="F95" i="142"/>
  <c r="F96" i="142"/>
  <c r="F97" i="142"/>
  <c r="F98" i="142"/>
  <c r="F99" i="142"/>
  <c r="F100" i="142"/>
  <c r="F101" i="142"/>
  <c r="F102" i="142"/>
  <c r="F103" i="142"/>
  <c r="F91" i="142"/>
  <c r="F80" i="142"/>
  <c r="F81" i="142"/>
  <c r="F82" i="142"/>
  <c r="F83" i="142"/>
  <c r="F84" i="142"/>
  <c r="F85" i="142"/>
  <c r="F86" i="142"/>
  <c r="F87" i="142"/>
  <c r="F88" i="142"/>
  <c r="F70" i="142"/>
  <c r="F71" i="142"/>
  <c r="F72" i="142"/>
  <c r="F73" i="142"/>
  <c r="F74" i="142"/>
  <c r="F75" i="142"/>
  <c r="F76" i="142"/>
  <c r="F77" i="142"/>
  <c r="F78" i="142"/>
  <c r="F79" i="142"/>
  <c r="F65" i="142"/>
  <c r="F66" i="142"/>
  <c r="F62" i="142"/>
  <c r="F19" i="142"/>
  <c r="G399" i="143" l="1"/>
  <c r="G274" i="143"/>
  <c r="G198" i="143"/>
  <c r="G269" i="143"/>
  <c r="G195" i="143"/>
  <c r="G279" i="143"/>
  <c r="G281" i="143" s="1"/>
  <c r="G301" i="143"/>
  <c r="G410" i="143"/>
  <c r="G420" i="143"/>
  <c r="G97" i="143"/>
  <c r="G89" i="143"/>
  <c r="G327" i="143"/>
  <c r="G380" i="143"/>
  <c r="G294" i="143"/>
  <c r="G238" i="143"/>
  <c r="G134" i="143"/>
  <c r="G56" i="143"/>
  <c r="G35" i="143"/>
  <c r="G51" i="143" s="1"/>
  <c r="G63" i="143" l="1"/>
  <c r="G79" i="143" s="1"/>
  <c r="D39" i="139"/>
  <c r="D42" i="139"/>
  <c r="D43" i="139"/>
  <c r="D45" i="139"/>
  <c r="D46" i="139"/>
  <c r="D48" i="139"/>
  <c r="D8" i="139"/>
  <c r="D9" i="139"/>
  <c r="D15" i="139"/>
  <c r="D22" i="139"/>
  <c r="D23" i="139"/>
  <c r="D25" i="139"/>
  <c r="F50" i="156" l="1"/>
  <c r="F49" i="156"/>
  <c r="F48" i="156"/>
  <c r="F47" i="156"/>
  <c r="F43" i="156"/>
  <c r="F42" i="156"/>
  <c r="F37" i="156"/>
  <c r="F33" i="156"/>
  <c r="F32" i="156"/>
  <c r="F27" i="156"/>
  <c r="F26" i="156"/>
  <c r="F25" i="156"/>
  <c r="F24" i="156"/>
  <c r="F23" i="156"/>
  <c r="F20" i="156"/>
  <c r="F17" i="156"/>
  <c r="F16" i="156"/>
  <c r="F15" i="156"/>
  <c r="F14" i="156"/>
  <c r="F9" i="156"/>
  <c r="F11" i="156"/>
  <c r="F8" i="156"/>
  <c r="F4" i="156"/>
  <c r="E50" i="156"/>
  <c r="E49" i="156"/>
  <c r="E44" i="156"/>
  <c r="E48" i="156"/>
  <c r="E47" i="156"/>
  <c r="E43" i="156"/>
  <c r="E42" i="156"/>
  <c r="E37" i="156"/>
  <c r="E33" i="156"/>
  <c r="E32" i="156"/>
  <c r="E27" i="156"/>
  <c r="E26" i="156"/>
  <c r="E25" i="156"/>
  <c r="E24" i="156"/>
  <c r="E23" i="156"/>
  <c r="E20" i="156"/>
  <c r="E17" i="156"/>
  <c r="E16" i="156"/>
  <c r="E15" i="156"/>
  <c r="E14" i="156"/>
  <c r="E9" i="156"/>
  <c r="E10" i="156"/>
  <c r="E11" i="156"/>
  <c r="E8" i="156"/>
  <c r="E4" i="156"/>
  <c r="F310" i="143"/>
  <c r="G310" i="143" s="1"/>
  <c r="G314" i="143" s="1"/>
  <c r="F176" i="143"/>
  <c r="G176" i="143" s="1"/>
  <c r="F364" i="143"/>
  <c r="G364" i="143" s="1"/>
  <c r="F363" i="143"/>
  <c r="G363" i="143" s="1"/>
  <c r="F351" i="143"/>
  <c r="G351" i="143" s="1"/>
  <c r="G357" i="143" s="1"/>
  <c r="F331" i="143"/>
  <c r="G331" i="143" s="1"/>
  <c r="G345" i="143" s="1"/>
  <c r="F217" i="143"/>
  <c r="G217" i="143" s="1"/>
  <c r="G231" i="143" s="1"/>
  <c r="F170" i="143"/>
  <c r="G170" i="143" s="1"/>
  <c r="F138" i="143"/>
  <c r="G138" i="143" s="1"/>
  <c r="F107" i="143"/>
  <c r="G107" i="143" s="1"/>
  <c r="F108" i="143"/>
  <c r="G108" i="143" s="1"/>
  <c r="I357" i="143"/>
  <c r="E216" i="142"/>
  <c r="F216" i="142" s="1"/>
  <c r="G366" i="143" l="1"/>
  <c r="G372" i="143" s="1"/>
  <c r="D37" i="139" s="1"/>
  <c r="D38" i="139" s="1"/>
  <c r="G113" i="143"/>
  <c r="G123" i="143" s="1"/>
  <c r="G164" i="143" s="1"/>
  <c r="G186" i="143" s="1"/>
  <c r="G240" i="143" s="1"/>
  <c r="G255" i="143" s="1"/>
  <c r="E45" i="156"/>
  <c r="E204" i="142" l="1"/>
  <c r="F204" i="142" s="1"/>
  <c r="E186" i="142"/>
  <c r="F186" i="142" s="1"/>
  <c r="E184" i="142"/>
  <c r="F184" i="142" s="1"/>
  <c r="E153" i="142"/>
  <c r="E116" i="142" l="1"/>
  <c r="F116" i="142" s="1"/>
  <c r="G116" i="142" s="1"/>
  <c r="H87" i="143"/>
  <c r="H108" i="143"/>
  <c r="H249" i="143"/>
  <c r="H309" i="143"/>
  <c r="H396" i="143"/>
  <c r="H4" i="143"/>
  <c r="H5" i="143"/>
  <c r="H6" i="143"/>
  <c r="H7" i="143"/>
  <c r="H8" i="143"/>
  <c r="H11" i="143"/>
  <c r="H12" i="143"/>
  <c r="H13" i="143"/>
  <c r="H14" i="143"/>
  <c r="H15" i="143"/>
  <c r="H16" i="143"/>
  <c r="H17" i="143"/>
  <c r="H18" i="143"/>
  <c r="H19" i="143"/>
  <c r="H20" i="143"/>
  <c r="H22" i="143"/>
  <c r="H23" i="143"/>
  <c r="H24" i="143"/>
  <c r="H26" i="143"/>
  <c r="H27" i="143"/>
  <c r="H28" i="143"/>
  <c r="H29" i="143"/>
  <c r="H30" i="143"/>
  <c r="H31" i="143"/>
  <c r="H38" i="143"/>
  <c r="H39" i="143"/>
  <c r="H40" i="143"/>
  <c r="H42" i="143"/>
  <c r="H43" i="143"/>
  <c r="H44" i="143"/>
  <c r="H45" i="143"/>
  <c r="H46" i="143"/>
  <c r="H47" i="143"/>
  <c r="H48" i="143"/>
  <c r="H49" i="143"/>
  <c r="H50" i="143"/>
  <c r="H54" i="143"/>
  <c r="H55" i="143"/>
  <c r="H59" i="143"/>
  <c r="H60" i="143"/>
  <c r="H66" i="143"/>
  <c r="H67" i="143"/>
  <c r="H68" i="143"/>
  <c r="H69" i="143"/>
  <c r="H70" i="143"/>
  <c r="H71" i="143"/>
  <c r="H75" i="143"/>
  <c r="H77" i="143"/>
  <c r="H78" i="143"/>
  <c r="H83" i="143"/>
  <c r="H84" i="143"/>
  <c r="H85" i="143"/>
  <c r="H86" i="143"/>
  <c r="H92" i="143"/>
  <c r="H93" i="143"/>
  <c r="H95" i="143"/>
  <c r="H96" i="143"/>
  <c r="H100" i="143"/>
  <c r="H101" i="143"/>
  <c r="H102" i="143"/>
  <c r="H103" i="143"/>
  <c r="H107" i="143"/>
  <c r="H110" i="143"/>
  <c r="H109" i="143"/>
  <c r="H111" i="143"/>
  <c r="H112" i="143"/>
  <c r="H116" i="143"/>
  <c r="H126" i="143"/>
  <c r="H130" i="143"/>
  <c r="H131" i="143"/>
  <c r="H132" i="143"/>
  <c r="H133" i="143"/>
  <c r="H137" i="143"/>
  <c r="H138" i="143"/>
  <c r="H139" i="143"/>
  <c r="H140" i="143"/>
  <c r="H141" i="143"/>
  <c r="H145" i="143"/>
  <c r="H146" i="143"/>
  <c r="H147" i="143"/>
  <c r="H148" i="143"/>
  <c r="H149" i="143"/>
  <c r="H150" i="143"/>
  <c r="H151" i="143"/>
  <c r="H153" i="143"/>
  <c r="H154" i="143"/>
  <c r="H155" i="143"/>
  <c r="H156" i="143"/>
  <c r="H157" i="143"/>
  <c r="H158" i="143"/>
  <c r="H159" i="143"/>
  <c r="H160" i="143"/>
  <c r="H161" i="143"/>
  <c r="H163" i="143"/>
  <c r="H167" i="143"/>
  <c r="H168" i="143"/>
  <c r="H169" i="143"/>
  <c r="H170" i="143"/>
  <c r="H171" i="143"/>
  <c r="H172" i="143"/>
  <c r="H173" i="143"/>
  <c r="H174" i="143"/>
  <c r="H175" i="143"/>
  <c r="H176" i="143"/>
  <c r="H177" i="143"/>
  <c r="H178" i="143"/>
  <c r="H179" i="143"/>
  <c r="H180" i="143"/>
  <c r="H181" i="143"/>
  <c r="H183" i="143"/>
  <c r="H184" i="143"/>
  <c r="H189" i="143"/>
  <c r="H190" i="143"/>
  <c r="H191" i="143"/>
  <c r="H192" i="143"/>
  <c r="H193" i="143"/>
  <c r="H194" i="143"/>
  <c r="H201" i="143"/>
  <c r="H202" i="143"/>
  <c r="H203" i="143"/>
  <c r="H204" i="143"/>
  <c r="H205" i="143"/>
  <c r="H206" i="143"/>
  <c r="H207" i="143"/>
  <c r="H208" i="143"/>
  <c r="H209" i="143"/>
  <c r="H210" i="143"/>
  <c r="H211" i="143"/>
  <c r="H212" i="143"/>
  <c r="H213" i="143"/>
  <c r="H214" i="143"/>
  <c r="H215" i="143"/>
  <c r="H216" i="143"/>
  <c r="H217" i="143"/>
  <c r="H218" i="143"/>
  <c r="H219" i="143"/>
  <c r="H220" i="143"/>
  <c r="H221" i="143"/>
  <c r="H222" i="143"/>
  <c r="H223" i="143"/>
  <c r="H224" i="143"/>
  <c r="H225" i="143"/>
  <c r="H226" i="143"/>
  <c r="H227" i="143"/>
  <c r="H228" i="143"/>
  <c r="H229" i="143"/>
  <c r="H230" i="143"/>
  <c r="H234" i="143"/>
  <c r="H236" i="143"/>
  <c r="H237" i="143"/>
  <c r="H242" i="143"/>
  <c r="H244" i="143"/>
  <c r="H245" i="143"/>
  <c r="H246" i="143"/>
  <c r="H247" i="143"/>
  <c r="H248" i="143"/>
  <c r="H250" i="143"/>
  <c r="H251" i="143"/>
  <c r="H252" i="143"/>
  <c r="H253" i="143"/>
  <c r="H254" i="143"/>
  <c r="H258" i="143"/>
  <c r="H259" i="143"/>
  <c r="H398" i="143"/>
  <c r="H264" i="143"/>
  <c r="H265" i="143"/>
  <c r="H276" i="143"/>
  <c r="H277" i="143"/>
  <c r="H278" i="143"/>
  <c r="H284" i="143"/>
  <c r="H285" i="143"/>
  <c r="H286" i="143"/>
  <c r="H287" i="143"/>
  <c r="H288" i="143"/>
  <c r="H289" i="143"/>
  <c r="H291" i="143"/>
  <c r="H292" i="143"/>
  <c r="H293" i="143"/>
  <c r="H298" i="143"/>
  <c r="H299" i="143"/>
  <c r="H300" i="143"/>
  <c r="H304" i="143"/>
  <c r="H305" i="143"/>
  <c r="H306" i="143"/>
  <c r="H307" i="143"/>
  <c r="H308" i="143"/>
  <c r="H310" i="143"/>
  <c r="H311" i="143"/>
  <c r="H312" i="143"/>
  <c r="H313" i="143"/>
  <c r="H317" i="143"/>
  <c r="H318" i="143"/>
  <c r="H319" i="143"/>
  <c r="H320" i="143"/>
  <c r="H321" i="143"/>
  <c r="H322" i="143"/>
  <c r="H323" i="143"/>
  <c r="H324" i="143"/>
  <c r="H325" i="143"/>
  <c r="H326" i="143"/>
  <c r="H329" i="143"/>
  <c r="H331" i="143"/>
  <c r="H332" i="143"/>
  <c r="H333" i="143"/>
  <c r="H334" i="143"/>
  <c r="H335" i="143"/>
  <c r="H336" i="143"/>
  <c r="H337" i="143"/>
  <c r="H338" i="143"/>
  <c r="H339" i="143"/>
  <c r="H340" i="143"/>
  <c r="H341" i="143"/>
  <c r="H342" i="143"/>
  <c r="H343" i="143"/>
  <c r="H344" i="143"/>
  <c r="H348" i="143"/>
  <c r="H349" i="143"/>
  <c r="H351" i="143"/>
  <c r="H352" i="143"/>
  <c r="H353" i="143"/>
  <c r="H354" i="143"/>
  <c r="H355" i="143"/>
  <c r="H360" i="143"/>
  <c r="H361" i="143"/>
  <c r="H362" i="143"/>
  <c r="H363" i="143"/>
  <c r="H364" i="143"/>
  <c r="H369" i="143"/>
  <c r="H378" i="143"/>
  <c r="H379" i="143"/>
  <c r="H385" i="143"/>
  <c r="H386" i="143"/>
  <c r="H387" i="143"/>
  <c r="H388" i="143"/>
  <c r="H389" i="143"/>
  <c r="H391" i="143"/>
  <c r="H392" i="143"/>
  <c r="H397" i="143"/>
  <c r="H405" i="143"/>
  <c r="H406" i="143"/>
  <c r="H407" i="143"/>
  <c r="H408" i="143"/>
  <c r="H409" i="143"/>
  <c r="H412" i="143"/>
  <c r="H414" i="143"/>
  <c r="H416" i="143"/>
  <c r="H417" i="143"/>
  <c r="H418" i="143"/>
  <c r="H419" i="143"/>
  <c r="H423" i="143"/>
  <c r="G66" i="142"/>
  <c r="G86" i="142"/>
  <c r="G99" i="142"/>
  <c r="G108" i="142"/>
  <c r="G133" i="142"/>
  <c r="F7" i="142"/>
  <c r="F10" i="142"/>
  <c r="F12" i="142"/>
  <c r="F13" i="142"/>
  <c r="F17" i="142" s="1"/>
  <c r="F18" i="142"/>
  <c r="F21" i="142"/>
  <c r="F23" i="142"/>
  <c r="F25" i="142"/>
  <c r="F27" i="142"/>
  <c r="G27" i="142" s="1"/>
  <c r="F31" i="142"/>
  <c r="G31" i="142" s="1"/>
  <c r="F33" i="142"/>
  <c r="G36" i="142"/>
  <c r="F37" i="142"/>
  <c r="G37" i="142" s="1"/>
  <c r="F38" i="142"/>
  <c r="G38" i="142" s="1"/>
  <c r="F40" i="142"/>
  <c r="F41" i="142"/>
  <c r="G41" i="142" s="1"/>
  <c r="F42" i="142"/>
  <c r="F44" i="142"/>
  <c r="F45" i="142"/>
  <c r="G45" i="142" s="1"/>
  <c r="F47" i="142"/>
  <c r="G47" i="142" s="1"/>
  <c r="F48" i="142"/>
  <c r="G48" i="142" s="1"/>
  <c r="F49" i="142"/>
  <c r="F50" i="142"/>
  <c r="G50" i="142" s="1"/>
  <c r="F58" i="142"/>
  <c r="F60" i="142"/>
  <c r="G65" i="142"/>
  <c r="F68" i="142"/>
  <c r="G70" i="142"/>
  <c r="G71" i="142"/>
  <c r="G72" i="142"/>
  <c r="G73" i="142"/>
  <c r="G74" i="142"/>
  <c r="G75" i="142"/>
  <c r="G76" i="142"/>
  <c r="G77" i="142"/>
  <c r="G78" i="142"/>
  <c r="G79" i="142"/>
  <c r="G80" i="142"/>
  <c r="G81" i="142"/>
  <c r="G82" i="142"/>
  <c r="G83" i="142"/>
  <c r="G84" i="142"/>
  <c r="G85" i="142"/>
  <c r="G87" i="142"/>
  <c r="G88" i="142"/>
  <c r="G92" i="142"/>
  <c r="G93" i="142"/>
  <c r="G94" i="142"/>
  <c r="G95" i="142"/>
  <c r="G96" i="142"/>
  <c r="G97" i="142"/>
  <c r="G98" i="142"/>
  <c r="G100" i="142"/>
  <c r="G101" i="142"/>
  <c r="G102" i="142"/>
  <c r="G103" i="142"/>
  <c r="G104" i="142"/>
  <c r="G105" i="142"/>
  <c r="G106" i="142"/>
  <c r="G107" i="142"/>
  <c r="G109" i="142"/>
  <c r="G110" i="142"/>
  <c r="G111" i="142"/>
  <c r="G112" i="142"/>
  <c r="G125" i="142"/>
  <c r="G130" i="142"/>
  <c r="G132" i="142"/>
  <c r="G134" i="142"/>
  <c r="G135" i="142"/>
  <c r="G136" i="142"/>
  <c r="G138" i="142"/>
  <c r="G139" i="142"/>
  <c r="G140" i="142"/>
  <c r="G141" i="142"/>
  <c r="G142" i="142"/>
  <c r="G143" i="142"/>
  <c r="G145" i="142"/>
  <c r="G146" i="142"/>
  <c r="G148" i="142"/>
  <c r="F153" i="142"/>
  <c r="G155" i="142"/>
  <c r="F156" i="142"/>
  <c r="G156" i="142" s="1"/>
  <c r="F157" i="142"/>
  <c r="G157" i="142" s="1"/>
  <c r="F159" i="142"/>
  <c r="F160" i="142"/>
  <c r="F161" i="142"/>
  <c r="G161" i="142" s="1"/>
  <c r="F163" i="142"/>
  <c r="F165" i="142"/>
  <c r="F166" i="142"/>
  <c r="G169" i="142"/>
  <c r="G173" i="142"/>
  <c r="G174" i="142"/>
  <c r="G175" i="142"/>
  <c r="G179" i="142"/>
  <c r="G180" i="142"/>
  <c r="G182" i="142"/>
  <c r="G183" i="142"/>
  <c r="G184" i="142"/>
  <c r="G185" i="142"/>
  <c r="G186" i="142"/>
  <c r="G191" i="142"/>
  <c r="G192" i="142"/>
  <c r="G193" i="142"/>
  <c r="G194" i="142"/>
  <c r="G195" i="142"/>
  <c r="G196" i="142"/>
  <c r="G197" i="142"/>
  <c r="G198" i="142"/>
  <c r="F201" i="142"/>
  <c r="G204" i="142"/>
  <c r="G205" i="142"/>
  <c r="G206" i="142"/>
  <c r="G207" i="142"/>
  <c r="G208" i="142"/>
  <c r="G209" i="142"/>
  <c r="G210" i="142"/>
  <c r="G211" i="142"/>
  <c r="G212" i="142"/>
  <c r="F215" i="142"/>
  <c r="G217" i="142"/>
  <c r="G218" i="142"/>
  <c r="G220" i="142"/>
  <c r="G221" i="142"/>
  <c r="G222" i="142"/>
  <c r="G223" i="142"/>
  <c r="G224" i="142"/>
  <c r="G230" i="142"/>
  <c r="G231" i="142"/>
  <c r="G232" i="142"/>
  <c r="G233" i="142"/>
  <c r="G234" i="142"/>
  <c r="F245" i="142"/>
  <c r="G245" i="142" s="1"/>
  <c r="F247" i="142"/>
  <c r="F249" i="142"/>
  <c r="F257" i="142"/>
  <c r="F258" i="142"/>
  <c r="F259" i="142"/>
  <c r="G259" i="142" s="1"/>
  <c r="F260" i="142"/>
  <c r="G260" i="142" s="1"/>
  <c r="F261" i="142"/>
  <c r="G261" i="142" s="1"/>
  <c r="F263" i="142"/>
  <c r="F265" i="142"/>
  <c r="F266" i="142"/>
  <c r="F267" i="142"/>
  <c r="G267" i="142" s="1"/>
  <c r="F268" i="142"/>
  <c r="G268" i="142" s="1"/>
  <c r="G270" i="142"/>
  <c r="G271" i="142"/>
  <c r="F273" i="142"/>
  <c r="F6" i="142"/>
  <c r="D7" i="139" s="1"/>
  <c r="G49" i="142" l="1"/>
  <c r="G51" i="142" s="1"/>
  <c r="H399" i="143"/>
  <c r="E23" i="139"/>
  <c r="D20" i="139"/>
  <c r="F51" i="142"/>
  <c r="F39" i="142"/>
  <c r="G42" i="142"/>
  <c r="D14" i="139"/>
  <c r="G21" i="142"/>
  <c r="D16" i="139"/>
  <c r="G62" i="142"/>
  <c r="G67" i="142" s="1"/>
  <c r="F67" i="142"/>
  <c r="G190" i="142"/>
  <c r="G200" i="142" s="1"/>
  <c r="F200" i="142"/>
  <c r="G239" i="142"/>
  <c r="G240" i="142" s="1"/>
  <c r="F240" i="142"/>
  <c r="G244" i="142"/>
  <c r="G246" i="142" s="1"/>
  <c r="F246" i="142"/>
  <c r="G39" i="142"/>
  <c r="G178" i="142"/>
  <c r="G188" i="142" s="1"/>
  <c r="F188" i="142"/>
  <c r="F170" i="142"/>
  <c r="G129" i="142"/>
  <c r="G149" i="142" s="1"/>
  <c r="F149" i="142"/>
  <c r="G167" i="142"/>
  <c r="G170" i="142" s="1"/>
  <c r="G216" i="142"/>
  <c r="G227" i="142" s="1"/>
  <c r="F227" i="142"/>
  <c r="G153" i="142"/>
  <c r="G158" i="142" s="1"/>
  <c r="F158" i="142"/>
  <c r="G69" i="142"/>
  <c r="F89" i="142"/>
  <c r="G266" i="142"/>
  <c r="G272" i="142" s="1"/>
  <c r="F272" i="142"/>
  <c r="G256" i="142"/>
  <c r="F127" i="142"/>
  <c r="F32" i="142"/>
  <c r="G6" i="142"/>
  <c r="G258" i="142"/>
  <c r="F262" i="142"/>
  <c r="G229" i="142"/>
  <c r="G237" i="142" s="1"/>
  <c r="F237" i="142"/>
  <c r="G202" i="142"/>
  <c r="G214" i="142" s="1"/>
  <c r="F214" i="142"/>
  <c r="F176" i="142"/>
  <c r="G160" i="142"/>
  <c r="F162" i="142"/>
  <c r="G120" i="142"/>
  <c r="G121" i="142" s="1"/>
  <c r="F121" i="142"/>
  <c r="G91" i="142"/>
  <c r="G118" i="142" s="1"/>
  <c r="F118" i="142"/>
  <c r="F43" i="142"/>
  <c r="G19" i="142"/>
  <c r="F22" i="142"/>
  <c r="G32" i="142"/>
  <c r="G9" i="142"/>
  <c r="F9" i="142"/>
  <c r="F11" i="142" s="1"/>
  <c r="G172" i="142"/>
  <c r="G176" i="142" s="1"/>
  <c r="G123" i="142"/>
  <c r="G127" i="142" s="1"/>
  <c r="G13" i="142"/>
  <c r="G17" i="142" s="1"/>
  <c r="H413" i="143"/>
  <c r="H404" i="143"/>
  <c r="H384" i="143"/>
  <c r="H377" i="143"/>
  <c r="H374" i="143"/>
  <c r="H368" i="143"/>
  <c r="H359" i="143"/>
  <c r="H347" i="143"/>
  <c r="H345" i="143"/>
  <c r="H316" i="143"/>
  <c r="H303" i="143"/>
  <c r="H297" i="143"/>
  <c r="H283" i="143"/>
  <c r="H279" i="143"/>
  <c r="H273" i="143"/>
  <c r="H263" i="143"/>
  <c r="H257" i="143"/>
  <c r="H243" i="143"/>
  <c r="H255" i="143" s="1"/>
  <c r="H233" i="143"/>
  <c r="H200" i="143"/>
  <c r="H197" i="143"/>
  <c r="H188" i="143"/>
  <c r="H166" i="143"/>
  <c r="H136" i="143"/>
  <c r="H125" i="143"/>
  <c r="H115" i="143"/>
  <c r="H99" i="143"/>
  <c r="H91" i="143"/>
  <c r="H89" i="143"/>
  <c r="H65" i="143"/>
  <c r="H61" i="143"/>
  <c r="D40" i="139"/>
  <c r="D41" i="139" s="1"/>
  <c r="H53" i="143"/>
  <c r="H37" i="143"/>
  <c r="H3" i="143"/>
  <c r="F59" i="142" l="1"/>
  <c r="G59" i="142"/>
  <c r="G162" i="142"/>
  <c r="G164" i="142" s="1"/>
  <c r="D10" i="139"/>
  <c r="D11" i="139" s="1"/>
  <c r="G43" i="142"/>
  <c r="H238" i="143"/>
  <c r="H274" i="143"/>
  <c r="H281" i="143" s="1"/>
  <c r="H366" i="143"/>
  <c r="H56" i="143"/>
  <c r="H117" i="143"/>
  <c r="H195" i="143"/>
  <c r="H231" i="143" s="1"/>
  <c r="H327" i="143"/>
  <c r="H97" i="143"/>
  <c r="H198" i="143"/>
  <c r="H375" i="143"/>
  <c r="H35" i="143"/>
  <c r="H113" i="143"/>
  <c r="H269" i="143"/>
  <c r="H301" i="143"/>
  <c r="H357" i="143"/>
  <c r="H51" i="143"/>
  <c r="H314" i="143"/>
  <c r="H380" i="143"/>
  <c r="H370" i="143"/>
  <c r="G262" i="142"/>
  <c r="H420" i="143"/>
  <c r="H134" i="143"/>
  <c r="H294" i="143"/>
  <c r="H410" i="143"/>
  <c r="F24" i="142"/>
  <c r="G22" i="142"/>
  <c r="F264" i="142"/>
  <c r="G89" i="142"/>
  <c r="F242" i="142"/>
  <c r="D13" i="139" s="1"/>
  <c r="F164" i="142"/>
  <c r="D12" i="139"/>
  <c r="G242" i="142"/>
  <c r="G11" i="142"/>
  <c r="D34" i="139"/>
  <c r="D35" i="139" s="1"/>
  <c r="G264" i="142" l="1"/>
  <c r="G24" i="142"/>
  <c r="H63" i="143"/>
  <c r="H79" i="143" s="1"/>
  <c r="H123" i="143" s="1"/>
  <c r="H164" i="143" s="1"/>
  <c r="H372" i="143"/>
  <c r="E41" i="139"/>
  <c r="D18" i="139"/>
  <c r="D21" i="139" s="1"/>
  <c r="D24" i="139" s="1"/>
  <c r="D26" i="139" s="1"/>
  <c r="F276" i="142" s="1"/>
  <c r="F248" i="142"/>
  <c r="F274" i="142" s="1"/>
  <c r="E11" i="139"/>
  <c r="I145" i="143"/>
  <c r="AC145" i="143" s="1"/>
  <c r="F15" i="152"/>
  <c r="I408" i="143"/>
  <c r="H186" i="143" l="1"/>
  <c r="H240" i="143" s="1"/>
  <c r="G147" i="151"/>
  <c r="G148" i="151" s="1"/>
  <c r="E35" i="139"/>
  <c r="E18" i="139"/>
  <c r="E21" i="139" s="1"/>
  <c r="E38" i="139"/>
  <c r="F278" i="142"/>
  <c r="E24" i="139" l="1"/>
  <c r="C43" i="139"/>
  <c r="E26" i="139" l="1"/>
  <c r="V157" i="146"/>
  <c r="W157" i="146"/>
  <c r="V32" i="109" s="1"/>
  <c r="G276" i="142" l="1"/>
  <c r="H120" i="142"/>
  <c r="D120" i="142"/>
  <c r="E93" i="143"/>
  <c r="I93" i="143"/>
  <c r="AC93" i="143" s="1"/>
  <c r="K189" i="147"/>
  <c r="N120" i="142" l="1"/>
  <c r="N121" i="142" s="1"/>
  <c r="O120" i="142"/>
  <c r="O121" i="142" s="1"/>
  <c r="F10" i="156"/>
  <c r="J32" i="142"/>
  <c r="J59" i="142" s="1"/>
  <c r="K188" i="143"/>
  <c r="I150" i="143"/>
  <c r="AC150" i="143" s="1"/>
  <c r="H6" i="142"/>
  <c r="AC188" i="143" l="1"/>
  <c r="AC44" i="143"/>
  <c r="H157" i="146"/>
  <c r="I170" i="146"/>
  <c r="E417" i="143" s="1"/>
  <c r="V170" i="146"/>
  <c r="G43" i="139" s="1"/>
  <c r="H170" i="146"/>
  <c r="I55" i="143"/>
  <c r="AC116" i="143" s="1"/>
  <c r="AC117" i="143" s="1"/>
  <c r="I392" i="143"/>
  <c r="AC392" i="143" s="1"/>
  <c r="I391" i="143"/>
  <c r="AC391" i="143" s="1"/>
  <c r="I407" i="143"/>
  <c r="I406" i="143"/>
  <c r="I405" i="143"/>
  <c r="AC405" i="143" s="1"/>
  <c r="I404" i="143"/>
  <c r="AC406" i="143" l="1"/>
  <c r="AC408" i="143"/>
  <c r="AC407" i="143"/>
  <c r="I56" i="143"/>
  <c r="L43" i="108"/>
  <c r="H24" i="146" l="1"/>
  <c r="C20" i="157"/>
  <c r="C15" i="157"/>
  <c r="C16" i="157" s="1"/>
  <c r="C12" i="157"/>
  <c r="C10" i="157"/>
  <c r="C3" i="157"/>
  <c r="C4" i="157" s="1"/>
  <c r="F38" i="156"/>
  <c r="F40" i="156" s="1"/>
  <c r="F21" i="156"/>
  <c r="E38" i="156"/>
  <c r="E40" i="156" s="1"/>
  <c r="E21" i="156"/>
  <c r="D48" i="156"/>
  <c r="D49" i="156"/>
  <c r="D50" i="156"/>
  <c r="D43" i="156"/>
  <c r="D44" i="156"/>
  <c r="D33" i="156"/>
  <c r="D24" i="156"/>
  <c r="D25" i="156"/>
  <c r="D26" i="156"/>
  <c r="D27" i="156"/>
  <c r="D15" i="156"/>
  <c r="D16" i="156"/>
  <c r="D17" i="156"/>
  <c r="D9" i="156"/>
  <c r="D10" i="156"/>
  <c r="D11" i="156"/>
  <c r="D47" i="156"/>
  <c r="D42" i="156"/>
  <c r="D37" i="156"/>
  <c r="D38" i="156" s="1"/>
  <c r="D40" i="156" s="1"/>
  <c r="D32" i="156"/>
  <c r="D23" i="156"/>
  <c r="D20" i="156"/>
  <c r="D21" i="156" s="1"/>
  <c r="D14" i="156"/>
  <c r="D8" i="156"/>
  <c r="C48" i="156"/>
  <c r="C49" i="156"/>
  <c r="C44" i="156"/>
  <c r="C33" i="156"/>
  <c r="C24" i="156"/>
  <c r="C25" i="156"/>
  <c r="C26" i="156"/>
  <c r="C27" i="156"/>
  <c r="C15" i="156"/>
  <c r="C16" i="156"/>
  <c r="C17" i="156"/>
  <c r="C9" i="156"/>
  <c r="C10" i="156"/>
  <c r="C11" i="156"/>
  <c r="C47" i="156"/>
  <c r="C42" i="156"/>
  <c r="C37" i="156"/>
  <c r="C38" i="156" s="1"/>
  <c r="C40" i="156" s="1"/>
  <c r="C32" i="156"/>
  <c r="C23" i="156"/>
  <c r="C20" i="156"/>
  <c r="C21" i="156" s="1"/>
  <c r="C14" i="156"/>
  <c r="C8" i="156"/>
  <c r="E5" i="156"/>
  <c r="D4" i="156"/>
  <c r="D5" i="156" s="1"/>
  <c r="C4" i="156"/>
  <c r="C5" i="156" s="1"/>
  <c r="H99" i="153"/>
  <c r="I99" i="153"/>
  <c r="J99" i="153"/>
  <c r="L99" i="153"/>
  <c r="M99" i="153"/>
  <c r="N99" i="153"/>
  <c r="O99" i="153"/>
  <c r="P99" i="153"/>
  <c r="Q99" i="153"/>
  <c r="E95" i="153"/>
  <c r="F95" i="153"/>
  <c r="G95" i="153"/>
  <c r="D95" i="153"/>
  <c r="E89" i="153"/>
  <c r="F89" i="153"/>
  <c r="G89" i="153"/>
  <c r="D89" i="153"/>
  <c r="E55" i="153"/>
  <c r="F55" i="153"/>
  <c r="G55" i="153"/>
  <c r="D55" i="153"/>
  <c r="E46" i="153"/>
  <c r="F46" i="153"/>
  <c r="G46" i="153"/>
  <c r="D46" i="153"/>
  <c r="E26" i="153"/>
  <c r="F26" i="153"/>
  <c r="G26" i="153"/>
  <c r="D26" i="153"/>
  <c r="E8" i="153"/>
  <c r="F8" i="153"/>
  <c r="G8" i="153"/>
  <c r="D8" i="153"/>
  <c r="E47" i="152"/>
  <c r="E43" i="152"/>
  <c r="F43" i="152"/>
  <c r="G43" i="152"/>
  <c r="D43" i="152"/>
  <c r="E40" i="152"/>
  <c r="F40" i="152"/>
  <c r="G40" i="152"/>
  <c r="D40" i="152"/>
  <c r="E30" i="152"/>
  <c r="F30" i="152"/>
  <c r="G30" i="152"/>
  <c r="D30" i="152"/>
  <c r="E27" i="152"/>
  <c r="F27" i="152"/>
  <c r="G27" i="152"/>
  <c r="D27" i="152"/>
  <c r="E24" i="152"/>
  <c r="F24" i="152"/>
  <c r="G24" i="152"/>
  <c r="H24" i="152"/>
  <c r="I24" i="152"/>
  <c r="J24" i="152"/>
  <c r="K24" i="152"/>
  <c r="L24" i="152"/>
  <c r="M24" i="152"/>
  <c r="N24" i="152"/>
  <c r="O24" i="152"/>
  <c r="P24" i="152"/>
  <c r="Q24" i="152"/>
  <c r="D24" i="152"/>
  <c r="E15" i="152"/>
  <c r="G15" i="152"/>
  <c r="D15" i="152"/>
  <c r="E4" i="152"/>
  <c r="F4" i="152"/>
  <c r="G4" i="152"/>
  <c r="D4" i="152"/>
  <c r="D16" i="157"/>
  <c r="F15" i="157"/>
  <c r="F16" i="157" s="1"/>
  <c r="E15" i="157"/>
  <c r="E16" i="157" s="1"/>
  <c r="D13" i="157"/>
  <c r="F11" i="157"/>
  <c r="E11" i="157"/>
  <c r="F10" i="157"/>
  <c r="E10" i="157"/>
  <c r="F7" i="157"/>
  <c r="E7" i="157"/>
  <c r="D7" i="157"/>
  <c r="F4" i="157"/>
  <c r="E4" i="157"/>
  <c r="D4" i="157"/>
  <c r="E45" i="152" l="1"/>
  <c r="E48" i="152" s="1"/>
  <c r="D18" i="157"/>
  <c r="D21" i="157" s="1"/>
  <c r="F45" i="152"/>
  <c r="D45" i="152"/>
  <c r="D97" i="153"/>
  <c r="F97" i="153"/>
  <c r="G45" i="152"/>
  <c r="G97" i="153"/>
  <c r="E97" i="153"/>
  <c r="E13" i="157"/>
  <c r="E18" i="157" s="1"/>
  <c r="E21" i="157" s="1"/>
  <c r="F13" i="157"/>
  <c r="F18" i="157" s="1"/>
  <c r="F21" i="157" s="1"/>
  <c r="C18" i="156"/>
  <c r="D18" i="156"/>
  <c r="F34" i="156"/>
  <c r="F12" i="156"/>
  <c r="F51" i="156"/>
  <c r="F45" i="156"/>
  <c r="F28" i="156"/>
  <c r="F18" i="156"/>
  <c r="E51" i="156"/>
  <c r="E34" i="156"/>
  <c r="E28" i="156"/>
  <c r="E18" i="156"/>
  <c r="E12" i="156"/>
  <c r="D45" i="156"/>
  <c r="D34" i="156"/>
  <c r="D28" i="156"/>
  <c r="D12" i="156"/>
  <c r="D51" i="156"/>
  <c r="C34" i="156"/>
  <c r="C28" i="156"/>
  <c r="C12" i="156"/>
  <c r="F5" i="156"/>
  <c r="F30" i="156" l="1"/>
  <c r="C30" i="156"/>
  <c r="D30" i="156"/>
  <c r="F53" i="156"/>
  <c r="E30" i="156"/>
  <c r="E53" i="156"/>
  <c r="D53" i="156"/>
  <c r="F56" i="156" l="1"/>
  <c r="E56" i="156"/>
  <c r="D56" i="156"/>
  <c r="E176" i="142"/>
  <c r="E170" i="142"/>
  <c r="E162" i="142"/>
  <c r="D162" i="142"/>
  <c r="E158" i="142"/>
  <c r="E149" i="142"/>
  <c r="E121" i="142"/>
  <c r="H121" i="142"/>
  <c r="E118" i="142"/>
  <c r="E89" i="142"/>
  <c r="E67" i="142"/>
  <c r="E51" i="142"/>
  <c r="H51" i="142"/>
  <c r="E43" i="142"/>
  <c r="H43" i="142"/>
  <c r="E39" i="142"/>
  <c r="H39" i="142"/>
  <c r="E32" i="142"/>
  <c r="E59" i="142" s="1"/>
  <c r="H32" i="142"/>
  <c r="E22" i="142"/>
  <c r="E9" i="142"/>
  <c r="H9" i="142"/>
  <c r="E6" i="142"/>
  <c r="H59" i="142" l="1"/>
  <c r="H11" i="142"/>
  <c r="E11" i="142"/>
  <c r="D129" i="142" l="1"/>
  <c r="J129" i="142"/>
  <c r="J149" i="142" s="1"/>
  <c r="I201" i="143"/>
  <c r="I191" i="143"/>
  <c r="AC191" i="143" s="1"/>
  <c r="I190" i="143"/>
  <c r="AC190" i="143" s="1"/>
  <c r="I151" i="143"/>
  <c r="AC151" i="143" s="1"/>
  <c r="I147" i="143"/>
  <c r="AC147" i="143" s="1"/>
  <c r="I419" i="143"/>
  <c r="AC419" i="143" s="1"/>
  <c r="K170" i="146"/>
  <c r="I133" i="143"/>
  <c r="AC133" i="143" s="1"/>
  <c r="E133" i="143"/>
  <c r="I131" i="143"/>
  <c r="AC131" i="143" s="1"/>
  <c r="E131" i="143"/>
  <c r="E48" i="143"/>
  <c r="I48" i="143"/>
  <c r="AC48" i="143" s="1"/>
  <c r="H129" i="142" l="1"/>
  <c r="N129" i="142" s="1"/>
  <c r="AC201" i="143"/>
  <c r="K417" i="143"/>
  <c r="AC417" i="143" s="1"/>
  <c r="E39" i="143"/>
  <c r="E29" i="143"/>
  <c r="O129" i="142" l="1"/>
  <c r="E130" i="143"/>
  <c r="J20" i="142" l="1"/>
  <c r="H20" i="142"/>
  <c r="H19" i="142"/>
  <c r="J19" i="142"/>
  <c r="C82" i="160"/>
  <c r="C81" i="160"/>
  <c r="C76" i="160"/>
  <c r="C77" i="160" s="1"/>
  <c r="C69" i="160"/>
  <c r="C68" i="160"/>
  <c r="C63" i="160"/>
  <c r="F53" i="160"/>
  <c r="E53" i="160"/>
  <c r="O19" i="142" l="1"/>
  <c r="L15" i="139" s="1"/>
  <c r="N19" i="142"/>
  <c r="K15" i="139" s="1"/>
  <c r="M19" i="142"/>
  <c r="O20" i="142"/>
  <c r="L25" i="139" s="1"/>
  <c r="N20" i="142"/>
  <c r="K25" i="139" s="1"/>
  <c r="C70" i="160"/>
  <c r="C72" i="160" s="1"/>
  <c r="C83" i="160"/>
  <c r="E388" i="143"/>
  <c r="I388" i="143" s="1"/>
  <c r="E387" i="143"/>
  <c r="I387" i="143" s="1"/>
  <c r="E386" i="143"/>
  <c r="I386" i="143" s="1"/>
  <c r="AC386" i="143" s="1"/>
  <c r="E385" i="143"/>
  <c r="I385" i="143" s="1"/>
  <c r="E391" i="143"/>
  <c r="E390" i="143"/>
  <c r="H390" i="143" s="1"/>
  <c r="AC388" i="143" l="1"/>
  <c r="AC390" i="143"/>
  <c r="AC387" i="143"/>
  <c r="AC389" i="143"/>
  <c r="M22" i="142"/>
  <c r="M24" i="142" s="1"/>
  <c r="M274" i="142" s="1"/>
  <c r="J15" i="139"/>
  <c r="G390" i="143"/>
  <c r="G394" i="143" s="1"/>
  <c r="G422" i="143" s="1"/>
  <c r="H394" i="143"/>
  <c r="H422" i="143" s="1"/>
  <c r="D261" i="142"/>
  <c r="E29" i="160"/>
  <c r="E31" i="160" s="1"/>
  <c r="E33" i="160" s="1"/>
  <c r="D26" i="160"/>
  <c r="D27" i="160" s="1"/>
  <c r="E13" i="160"/>
  <c r="D8" i="160"/>
  <c r="D31" i="139" l="1"/>
  <c r="C50" i="156"/>
  <c r="C51" i="156" s="1"/>
  <c r="E17" i="160"/>
  <c r="E19" i="160" s="1"/>
  <c r="F10" i="160"/>
  <c r="F13" i="160" s="1"/>
  <c r="T427" i="143"/>
  <c r="U427" i="143"/>
  <c r="V427" i="143"/>
  <c r="F35" i="143"/>
  <c r="E32" i="139" l="1"/>
  <c r="F15" i="160"/>
  <c r="F17" i="160" s="1"/>
  <c r="F19" i="160" s="1"/>
  <c r="I76" i="147"/>
  <c r="W71" i="147"/>
  <c r="K71" i="147"/>
  <c r="K141" i="143" s="1"/>
  <c r="I71" i="147"/>
  <c r="H7" i="147"/>
  <c r="W37" i="147"/>
  <c r="K37" i="147"/>
  <c r="K136" i="143" s="1"/>
  <c r="K7" i="147"/>
  <c r="I7" i="147"/>
  <c r="H131" i="147"/>
  <c r="H157" i="147"/>
  <c r="V149" i="147"/>
  <c r="J149" i="147"/>
  <c r="H149" i="147"/>
  <c r="E183" i="143"/>
  <c r="H51" i="147"/>
  <c r="H143" i="147"/>
  <c r="H142" i="147"/>
  <c r="AC136" i="143" l="1"/>
  <c r="AC20" i="143"/>
  <c r="K125" i="143"/>
  <c r="AC19" i="143" s="1"/>
  <c r="E44" i="139"/>
  <c r="H130" i="147"/>
  <c r="H65" i="147"/>
  <c r="H43" i="147"/>
  <c r="H20" i="147"/>
  <c r="K134" i="143" l="1"/>
  <c r="AC125" i="143"/>
  <c r="E47" i="139"/>
  <c r="H133" i="147"/>
  <c r="H132" i="147"/>
  <c r="E49" i="139" l="1"/>
  <c r="E50" i="139" l="1"/>
  <c r="I29" i="143"/>
  <c r="E220" i="143"/>
  <c r="H123" i="142"/>
  <c r="H127" i="142" s="1"/>
  <c r="H79" i="142"/>
  <c r="J79" i="142"/>
  <c r="J72" i="142"/>
  <c r="C20" i="139"/>
  <c r="D8" i="158"/>
  <c r="D10" i="158" s="1"/>
  <c r="E8" i="158"/>
  <c r="E10" i="158" s="1"/>
  <c r="F8" i="158"/>
  <c r="F10" i="158" s="1"/>
  <c r="C8" i="158"/>
  <c r="C10" i="158" s="1"/>
  <c r="K73" i="146"/>
  <c r="W73" i="146"/>
  <c r="I73" i="146"/>
  <c r="C14" i="139"/>
  <c r="J15" i="108" s="1"/>
  <c r="H161" i="142"/>
  <c r="J153" i="142"/>
  <c r="J161" i="142"/>
  <c r="J162" i="142" s="1"/>
  <c r="D42" i="142"/>
  <c r="E262" i="142"/>
  <c r="D32" i="142"/>
  <c r="D51" i="142"/>
  <c r="D254" i="142"/>
  <c r="D262" i="142"/>
  <c r="E11" i="155"/>
  <c r="E18" i="155"/>
  <c r="E31" i="155"/>
  <c r="E44" i="155"/>
  <c r="E60" i="155"/>
  <c r="E70" i="155"/>
  <c r="E78" i="155"/>
  <c r="E82" i="155"/>
  <c r="F301" i="143"/>
  <c r="F314" i="143"/>
  <c r="F327" i="143"/>
  <c r="F345" i="143"/>
  <c r="F357" i="143"/>
  <c r="F366" i="143"/>
  <c r="F370" i="143"/>
  <c r="F8" i="155"/>
  <c r="F11" i="155" s="1"/>
  <c r="F18" i="155"/>
  <c r="F31" i="155"/>
  <c r="F44" i="155"/>
  <c r="F60" i="155"/>
  <c r="F70" i="155"/>
  <c r="F78" i="155"/>
  <c r="F81" i="155"/>
  <c r="F82" i="155" s="1"/>
  <c r="I288" i="143"/>
  <c r="I301" i="143"/>
  <c r="I314" i="143"/>
  <c r="I327" i="143"/>
  <c r="L41" i="148"/>
  <c r="I366" i="143"/>
  <c r="I369" i="143"/>
  <c r="G11" i="155"/>
  <c r="G18" i="155"/>
  <c r="G31" i="155"/>
  <c r="G44" i="155"/>
  <c r="G60" i="155"/>
  <c r="G70" i="155"/>
  <c r="G78" i="155"/>
  <c r="G81" i="155"/>
  <c r="G82" i="155" s="1"/>
  <c r="K301" i="143"/>
  <c r="AC305" i="143" s="1"/>
  <c r="AC314" i="143" s="1"/>
  <c r="K314" i="143"/>
  <c r="AC318" i="143" s="1"/>
  <c r="AC327" i="143" s="1"/>
  <c r="K327" i="143"/>
  <c r="AC331" i="143" s="1"/>
  <c r="X41" i="148"/>
  <c r="K357" i="143"/>
  <c r="AC360" i="143" s="1"/>
  <c r="AC366" i="143" s="1"/>
  <c r="K366" i="143"/>
  <c r="K370" i="143"/>
  <c r="D11" i="155"/>
  <c r="D14" i="155"/>
  <c r="D16" i="155"/>
  <c r="D17" i="155"/>
  <c r="D21" i="155"/>
  <c r="D23" i="155"/>
  <c r="D24" i="155"/>
  <c r="D33" i="155"/>
  <c r="D36" i="155"/>
  <c r="D39" i="155"/>
  <c r="D60" i="155"/>
  <c r="D70" i="155"/>
  <c r="D78" i="155"/>
  <c r="D82" i="155"/>
  <c r="J30" i="148"/>
  <c r="E292" i="143" s="1"/>
  <c r="E293" i="143"/>
  <c r="E297" i="143"/>
  <c r="D174" i="142" s="1"/>
  <c r="E299" i="143"/>
  <c r="D173" i="142" s="1"/>
  <c r="E300" i="143"/>
  <c r="E304" i="143"/>
  <c r="E306" i="143"/>
  <c r="E307" i="143"/>
  <c r="E316" i="143"/>
  <c r="E319" i="143"/>
  <c r="E322" i="143"/>
  <c r="J41" i="148"/>
  <c r="D11" i="154" s="1"/>
  <c r="E357" i="143"/>
  <c r="D230" i="142" s="1"/>
  <c r="E366" i="143"/>
  <c r="E370" i="143"/>
  <c r="E13" i="154"/>
  <c r="E15" i="154"/>
  <c r="H15" i="154"/>
  <c r="I15" i="154"/>
  <c r="J15" i="154"/>
  <c r="L15" i="154"/>
  <c r="M15" i="154"/>
  <c r="N15" i="154"/>
  <c r="O15" i="154"/>
  <c r="P15" i="154"/>
  <c r="Q15" i="154"/>
  <c r="F134" i="143"/>
  <c r="F195" i="143"/>
  <c r="F198" i="143"/>
  <c r="F231" i="143"/>
  <c r="F238" i="143"/>
  <c r="W7" i="147"/>
  <c r="W62" i="147"/>
  <c r="W76" i="147"/>
  <c r="W79" i="147"/>
  <c r="W82" i="147"/>
  <c r="W84" i="147"/>
  <c r="W86" i="147"/>
  <c r="K195" i="143"/>
  <c r="W191" i="147"/>
  <c r="W193" i="147"/>
  <c r="K238" i="143"/>
  <c r="E125" i="143"/>
  <c r="E136" i="143"/>
  <c r="E139" i="143"/>
  <c r="I62" i="147"/>
  <c r="E141" i="143"/>
  <c r="E153" i="143"/>
  <c r="I79" i="147"/>
  <c r="E157" i="143" s="1"/>
  <c r="I82" i="147"/>
  <c r="E158" i="143" s="1"/>
  <c r="I84" i="147"/>
  <c r="E160" i="143" s="1"/>
  <c r="E161" i="143" s="1"/>
  <c r="I86" i="147"/>
  <c r="E166" i="143"/>
  <c r="E173" i="143"/>
  <c r="E174" i="143"/>
  <c r="E176" i="143"/>
  <c r="E177" i="143"/>
  <c r="E179" i="143"/>
  <c r="E181" i="143"/>
  <c r="E197" i="143"/>
  <c r="E198" i="143" s="1"/>
  <c r="E206" i="143"/>
  <c r="E212" i="143"/>
  <c r="E215" i="143"/>
  <c r="E217" i="143"/>
  <c r="E233" i="143"/>
  <c r="F51" i="143"/>
  <c r="F89" i="143"/>
  <c r="F97" i="143"/>
  <c r="F113" i="143"/>
  <c r="F117" i="143"/>
  <c r="F269" i="143"/>
  <c r="F274" i="143"/>
  <c r="F279" i="143"/>
  <c r="F375" i="143"/>
  <c r="F380" i="143"/>
  <c r="C39" i="139"/>
  <c r="J39" i="108" s="1"/>
  <c r="C46" i="139"/>
  <c r="I5" i="146"/>
  <c r="C3" i="150" s="1"/>
  <c r="I7" i="146"/>
  <c r="I9" i="146"/>
  <c r="I12" i="146"/>
  <c r="I21" i="146"/>
  <c r="I24" i="146"/>
  <c r="I27" i="146"/>
  <c r="C11" i="150" s="1"/>
  <c r="I29" i="146"/>
  <c r="C12" i="150" s="1"/>
  <c r="I34" i="146"/>
  <c r="E43" i="143"/>
  <c r="E65" i="143"/>
  <c r="E66" i="143"/>
  <c r="I36" i="146"/>
  <c r="I38" i="146"/>
  <c r="C20" i="150" s="1"/>
  <c r="E69" i="143"/>
  <c r="E70" i="143"/>
  <c r="I41" i="146"/>
  <c r="I43" i="146"/>
  <c r="C22" i="150" s="1"/>
  <c r="I45" i="146"/>
  <c r="E87" i="143"/>
  <c r="E89" i="143" s="1"/>
  <c r="I51" i="146"/>
  <c r="I60" i="146"/>
  <c r="E102" i="143"/>
  <c r="E108" i="143"/>
  <c r="E117" i="143"/>
  <c r="I62" i="146"/>
  <c r="I66" i="146"/>
  <c r="E246" i="143"/>
  <c r="I68" i="146"/>
  <c r="C38" i="150" s="1"/>
  <c r="E259" i="143"/>
  <c r="I81" i="146"/>
  <c r="E279" i="143"/>
  <c r="E375" i="143"/>
  <c r="E377" i="143"/>
  <c r="E378" i="143"/>
  <c r="E409" i="143"/>
  <c r="I409" i="143" s="1"/>
  <c r="AC411" i="143" s="1"/>
  <c r="I86" i="146"/>
  <c r="B46" i="139"/>
  <c r="W5" i="146"/>
  <c r="F3" i="150" s="1"/>
  <c r="W7" i="146"/>
  <c r="F4" i="150" s="1"/>
  <c r="W9" i="146"/>
  <c r="F5" i="150" s="1"/>
  <c r="W12" i="146"/>
  <c r="F6" i="150" s="1"/>
  <c r="W21" i="146"/>
  <c r="F7" i="150" s="1"/>
  <c r="W24" i="146"/>
  <c r="F8" i="150" s="1"/>
  <c r="W27" i="146"/>
  <c r="F11" i="150" s="1"/>
  <c r="W29" i="146"/>
  <c r="F12" i="150" s="1"/>
  <c r="W34" i="146"/>
  <c r="F13" i="150" s="1"/>
  <c r="W36" i="146"/>
  <c r="F19" i="150" s="1"/>
  <c r="W38" i="146"/>
  <c r="F20" i="150" s="1"/>
  <c r="W41" i="146"/>
  <c r="F21" i="150" s="1"/>
  <c r="W43" i="146"/>
  <c r="F22" i="150" s="1"/>
  <c r="W45" i="146"/>
  <c r="F23" i="150" s="1"/>
  <c r="W51" i="146"/>
  <c r="F27" i="150" s="1"/>
  <c r="F28" i="150" s="1"/>
  <c r="W60" i="146"/>
  <c r="F30" i="150" s="1"/>
  <c r="F31" i="150" s="1"/>
  <c r="W81" i="146"/>
  <c r="F49" i="150" s="1"/>
  <c r="F50" i="150" s="1"/>
  <c r="F52" i="150" s="1"/>
  <c r="W66" i="146"/>
  <c r="F37" i="150" s="1"/>
  <c r="W68" i="146"/>
  <c r="F38" i="150" s="1"/>
  <c r="F44" i="150"/>
  <c r="F45" i="150" s="1"/>
  <c r="W86" i="146"/>
  <c r="F57" i="150" s="1"/>
  <c r="F58" i="150" s="1"/>
  <c r="F64" i="150" s="1"/>
  <c r="W62" i="146"/>
  <c r="E7" i="154"/>
  <c r="I238" i="143"/>
  <c r="K86" i="147"/>
  <c r="K84" i="147"/>
  <c r="K82" i="147"/>
  <c r="K79" i="147"/>
  <c r="K157" i="143" s="1"/>
  <c r="AC157" i="143" s="1"/>
  <c r="K76" i="147"/>
  <c r="K62" i="147"/>
  <c r="K157" i="146"/>
  <c r="K86" i="146"/>
  <c r="K81" i="146"/>
  <c r="E44" i="150"/>
  <c r="E45" i="150" s="1"/>
  <c r="K68" i="146"/>
  <c r="K251" i="143" s="1"/>
  <c r="K66" i="146"/>
  <c r="K60" i="146"/>
  <c r="K51" i="146"/>
  <c r="K45" i="146"/>
  <c r="K43" i="146"/>
  <c r="K41" i="146"/>
  <c r="K38" i="146"/>
  <c r="K36" i="146"/>
  <c r="K34" i="146"/>
  <c r="K24" i="146"/>
  <c r="K21" i="146"/>
  <c r="K12" i="146"/>
  <c r="K18" i="143" s="1"/>
  <c r="K9" i="146"/>
  <c r="K7" i="146"/>
  <c r="K5" i="146"/>
  <c r="J168" i="146"/>
  <c r="J170" i="146" s="1"/>
  <c r="R15" i="145"/>
  <c r="Q15" i="145"/>
  <c r="P15" i="145"/>
  <c r="O15" i="145"/>
  <c r="N15" i="145"/>
  <c r="N9" i="145"/>
  <c r="M15" i="145"/>
  <c r="M9" i="145"/>
  <c r="M10" i="145" s="1"/>
  <c r="L15" i="145"/>
  <c r="L8" i="145"/>
  <c r="L10" i="145" s="1"/>
  <c r="C7" i="139"/>
  <c r="C8" i="139"/>
  <c r="C9" i="139"/>
  <c r="E127" i="142"/>
  <c r="E188" i="142"/>
  <c r="E200" i="142"/>
  <c r="E214" i="142"/>
  <c r="E227" i="142"/>
  <c r="E237" i="142"/>
  <c r="E240" i="142"/>
  <c r="C15" i="139"/>
  <c r="C16" i="139"/>
  <c r="C22" i="139"/>
  <c r="C23" i="139"/>
  <c r="C25" i="139"/>
  <c r="E272" i="142"/>
  <c r="E256" i="142"/>
  <c r="E246" i="142"/>
  <c r="T428" i="143"/>
  <c r="U428" i="143"/>
  <c r="V428" i="143"/>
  <c r="V155" i="147"/>
  <c r="J155" i="147"/>
  <c r="H155" i="147"/>
  <c r="V154" i="147"/>
  <c r="J154" i="147"/>
  <c r="H154" i="147"/>
  <c r="V152" i="147"/>
  <c r="J152" i="147"/>
  <c r="H152" i="147"/>
  <c r="H150" i="147"/>
  <c r="H134" i="147"/>
  <c r="V105" i="147"/>
  <c r="V120" i="147" s="1"/>
  <c r="J105" i="147"/>
  <c r="J120" i="147" s="1"/>
  <c r="H105" i="147"/>
  <c r="H120" i="147" s="1"/>
  <c r="H75" i="147"/>
  <c r="V73" i="147"/>
  <c r="J73" i="147"/>
  <c r="H73" i="147"/>
  <c r="V72" i="147"/>
  <c r="J72" i="147"/>
  <c r="H72" i="147"/>
  <c r="V70" i="147"/>
  <c r="J70" i="147"/>
  <c r="H70" i="147"/>
  <c r="V67" i="147"/>
  <c r="J67" i="147"/>
  <c r="H67" i="147"/>
  <c r="V66" i="147"/>
  <c r="J66" i="147"/>
  <c r="H66" i="147"/>
  <c r="H45" i="147"/>
  <c r="H47" i="147"/>
  <c r="H48" i="147"/>
  <c r="H42" i="147"/>
  <c r="H46" i="147"/>
  <c r="H53" i="147"/>
  <c r="H52" i="147"/>
  <c r="H50" i="147"/>
  <c r="H41" i="147"/>
  <c r="H44" i="147"/>
  <c r="H40" i="147"/>
  <c r="V23" i="147"/>
  <c r="V26" i="147"/>
  <c r="V20" i="147"/>
  <c r="V35" i="147"/>
  <c r="J23" i="147"/>
  <c r="J26" i="147"/>
  <c r="J20" i="147"/>
  <c r="J35" i="147"/>
  <c r="V33" i="147"/>
  <c r="V22" i="147"/>
  <c r="V17" i="147"/>
  <c r="J33" i="147"/>
  <c r="J22" i="147"/>
  <c r="J17" i="147"/>
  <c r="H26" i="147"/>
  <c r="H23" i="147"/>
  <c r="H35" i="147"/>
  <c r="H24" i="147"/>
  <c r="H34" i="147"/>
  <c r="H17" i="147"/>
  <c r="H22" i="147"/>
  <c r="H33" i="147"/>
  <c r="I243" i="143"/>
  <c r="H81" i="146"/>
  <c r="H34" i="146"/>
  <c r="K17" i="108"/>
  <c r="D19" i="142"/>
  <c r="D22" i="142" s="1"/>
  <c r="A126" i="143"/>
  <c r="A130" i="143"/>
  <c r="A133" i="143"/>
  <c r="A134" i="143"/>
  <c r="A135" i="143"/>
  <c r="A136" i="143"/>
  <c r="A137" i="143"/>
  <c r="A138" i="143"/>
  <c r="A139" i="143"/>
  <c r="A140" i="143"/>
  <c r="A141" i="143"/>
  <c r="A145" i="143"/>
  <c r="A146" i="143"/>
  <c r="A147" i="143"/>
  <c r="A148" i="143"/>
  <c r="A149" i="143"/>
  <c r="A150" i="143"/>
  <c r="A151" i="143"/>
  <c r="A153" i="143"/>
  <c r="A154" i="143"/>
  <c r="A155" i="143"/>
  <c r="A156" i="143"/>
  <c r="A157" i="143"/>
  <c r="A158" i="143"/>
  <c r="A159" i="143"/>
  <c r="A160" i="143"/>
  <c r="A161" i="143"/>
  <c r="A163" i="143"/>
  <c r="A164" i="143"/>
  <c r="A165" i="143"/>
  <c r="A166" i="143"/>
  <c r="A167" i="143"/>
  <c r="A168" i="143"/>
  <c r="A169" i="143"/>
  <c r="A170" i="143"/>
  <c r="A171" i="143"/>
  <c r="A172" i="143"/>
  <c r="A173" i="143"/>
  <c r="A174" i="143"/>
  <c r="A175" i="143"/>
  <c r="A176" i="143"/>
  <c r="A177" i="143"/>
  <c r="A178" i="143"/>
  <c r="A179" i="143"/>
  <c r="A180" i="143"/>
  <c r="A181" i="143"/>
  <c r="A183" i="143"/>
  <c r="A184" i="143"/>
  <c r="A186" i="143"/>
  <c r="A187" i="143"/>
  <c r="A188" i="143"/>
  <c r="A189" i="143"/>
  <c r="A190" i="143"/>
  <c r="A191" i="143"/>
  <c r="A192" i="143"/>
  <c r="A193" i="143"/>
  <c r="A194" i="143"/>
  <c r="A195" i="143"/>
  <c r="A196" i="143"/>
  <c r="A197" i="143"/>
  <c r="A198" i="143"/>
  <c r="A199" i="143"/>
  <c r="A200" i="143"/>
  <c r="A201" i="143"/>
  <c r="A202" i="143"/>
  <c r="A203" i="143"/>
  <c r="A204" i="143"/>
  <c r="A205" i="143"/>
  <c r="A206" i="143"/>
  <c r="A207" i="143"/>
  <c r="A208" i="143"/>
  <c r="A209" i="143"/>
  <c r="A210" i="143"/>
  <c r="A211" i="143"/>
  <c r="A212" i="143"/>
  <c r="A213" i="143"/>
  <c r="A214" i="143"/>
  <c r="A215" i="143"/>
  <c r="A216" i="143"/>
  <c r="A217" i="143"/>
  <c r="A218" i="143"/>
  <c r="A219" i="143"/>
  <c r="A220" i="143"/>
  <c r="A221" i="143"/>
  <c r="A222" i="143"/>
  <c r="A223" i="143"/>
  <c r="A224" i="143"/>
  <c r="A225" i="143"/>
  <c r="A226" i="143"/>
  <c r="A227" i="143"/>
  <c r="A228" i="143"/>
  <c r="A229" i="143"/>
  <c r="A230" i="143"/>
  <c r="A231" i="143"/>
  <c r="A232" i="143"/>
  <c r="A233" i="143"/>
  <c r="A234" i="143"/>
  <c r="A236" i="143"/>
  <c r="A237" i="143"/>
  <c r="A238" i="143"/>
  <c r="A239" i="143"/>
  <c r="A240" i="143"/>
  <c r="A125" i="143"/>
  <c r="I58" i="143"/>
  <c r="L21" i="141"/>
  <c r="F410" i="143"/>
  <c r="F394" i="143"/>
  <c r="H16" i="141"/>
  <c r="H40" i="108"/>
  <c r="H41" i="108" s="1"/>
  <c r="D40" i="108"/>
  <c r="D41" i="108" s="1"/>
  <c r="F12" i="108"/>
  <c r="F19" i="108"/>
  <c r="F32" i="108"/>
  <c r="F35" i="108"/>
  <c r="F38" i="108"/>
  <c r="F41" i="108"/>
  <c r="G12" i="108"/>
  <c r="G19" i="108"/>
  <c r="G32" i="108"/>
  <c r="G35" i="108"/>
  <c r="G38" i="108"/>
  <c r="G41" i="108"/>
  <c r="E36" i="108"/>
  <c r="E37" i="108"/>
  <c r="H38" i="108"/>
  <c r="E33" i="108"/>
  <c r="E34" i="108"/>
  <c r="H35" i="108"/>
  <c r="E29" i="108"/>
  <c r="E30" i="108"/>
  <c r="E31" i="108"/>
  <c r="H32" i="108"/>
  <c r="E7" i="108"/>
  <c r="E8" i="108"/>
  <c r="E9" i="108"/>
  <c r="E10" i="108"/>
  <c r="E11" i="108"/>
  <c r="E13" i="108"/>
  <c r="E14" i="108"/>
  <c r="E15" i="108"/>
  <c r="E16" i="108"/>
  <c r="E18" i="108"/>
  <c r="E20" i="108"/>
  <c r="E21" i="108"/>
  <c r="E23" i="108"/>
  <c r="E24" i="108"/>
  <c r="E26" i="108"/>
  <c r="H19" i="108"/>
  <c r="H12" i="108"/>
  <c r="K18" i="109"/>
  <c r="K26" i="109"/>
  <c r="K30" i="109"/>
  <c r="L18" i="109"/>
  <c r="L26" i="109"/>
  <c r="L30" i="109"/>
  <c r="J26" i="109"/>
  <c r="I26" i="109"/>
  <c r="I18" i="109"/>
  <c r="U32" i="109"/>
  <c r="H86" i="146"/>
  <c r="M30" i="109" s="1"/>
  <c r="V86" i="146"/>
  <c r="U28" i="109" s="1"/>
  <c r="U30" i="109" s="1"/>
  <c r="J86" i="146"/>
  <c r="V81" i="146"/>
  <c r="U23" i="109" s="1"/>
  <c r="J81" i="146"/>
  <c r="U22" i="109"/>
  <c r="V60" i="146"/>
  <c r="U17" i="109" s="1"/>
  <c r="J60" i="146"/>
  <c r="H60" i="146"/>
  <c r="H51" i="146"/>
  <c r="U14" i="109"/>
  <c r="V34" i="146"/>
  <c r="U12" i="109" s="1"/>
  <c r="V24" i="146"/>
  <c r="U11" i="109" s="1"/>
  <c r="H5" i="146"/>
  <c r="V5" i="146"/>
  <c r="J5" i="146"/>
  <c r="W42" i="148"/>
  <c r="H42" i="148"/>
  <c r="V51" i="146"/>
  <c r="U16" i="109" s="1"/>
  <c r="J51" i="146"/>
  <c r="F16" i="141"/>
  <c r="K15" i="145"/>
  <c r="K10" i="145"/>
  <c r="J30" i="109"/>
  <c r="J18" i="109"/>
  <c r="J36" i="108"/>
  <c r="J33" i="108"/>
  <c r="J29" i="108"/>
  <c r="J20" i="108"/>
  <c r="K20" i="108"/>
  <c r="I20" i="108"/>
  <c r="H262" i="142"/>
  <c r="D167" i="142"/>
  <c r="K279" i="143"/>
  <c r="I279" i="143"/>
  <c r="K62" i="146"/>
  <c r="K244" i="143" s="1"/>
  <c r="I102" i="143"/>
  <c r="AC102" i="143" s="1"/>
  <c r="K29" i="146"/>
  <c r="H272" i="142"/>
  <c r="D272" i="142"/>
  <c r="H256" i="142"/>
  <c r="H246" i="142"/>
  <c r="D246" i="142"/>
  <c r="H239" i="142"/>
  <c r="J239" i="142"/>
  <c r="J240" i="142" s="1"/>
  <c r="D240" i="142"/>
  <c r="D80" i="142"/>
  <c r="D89" i="142" s="1"/>
  <c r="D103" i="142"/>
  <c r="D118" i="142" s="1"/>
  <c r="D121" i="142"/>
  <c r="D123" i="142"/>
  <c r="D127" i="142" s="1"/>
  <c r="D67" i="142"/>
  <c r="H76" i="142"/>
  <c r="H112" i="142"/>
  <c r="H130" i="142"/>
  <c r="H62" i="142"/>
  <c r="J76" i="142"/>
  <c r="J112" i="142"/>
  <c r="J118" i="142" s="1"/>
  <c r="J62" i="142"/>
  <c r="J67" i="142" s="1"/>
  <c r="D39" i="142"/>
  <c r="D9" i="142"/>
  <c r="K410" i="143"/>
  <c r="I380" i="143"/>
  <c r="K380" i="143"/>
  <c r="AC383" i="143" s="1"/>
  <c r="I375" i="143"/>
  <c r="K375" i="143"/>
  <c r="AC378" i="143" s="1"/>
  <c r="AC380" i="143" s="1"/>
  <c r="AC167" i="143"/>
  <c r="I117" i="143"/>
  <c r="K117" i="143"/>
  <c r="I83" i="143"/>
  <c r="AC83" i="143" s="1"/>
  <c r="AC89" i="143" s="1"/>
  <c r="F61" i="143"/>
  <c r="K61" i="143"/>
  <c r="E61" i="143"/>
  <c r="E56" i="143"/>
  <c r="F56" i="143"/>
  <c r="F12" i="158"/>
  <c r="J234" i="142"/>
  <c r="J233" i="142"/>
  <c r="J232" i="142"/>
  <c r="J231" i="142"/>
  <c r="J230" i="142"/>
  <c r="J229" i="142"/>
  <c r="J224" i="142"/>
  <c r="J223" i="142"/>
  <c r="J222" i="142"/>
  <c r="J221" i="142"/>
  <c r="J220" i="142"/>
  <c r="J218" i="142"/>
  <c r="J216" i="142"/>
  <c r="J212" i="142"/>
  <c r="J211" i="142"/>
  <c r="J210" i="142"/>
  <c r="J208" i="142"/>
  <c r="J207" i="142"/>
  <c r="J206" i="142"/>
  <c r="J205" i="142"/>
  <c r="J202" i="142"/>
  <c r="J204" i="142"/>
  <c r="J198" i="142"/>
  <c r="J197" i="142"/>
  <c r="J194" i="142"/>
  <c r="J193" i="142"/>
  <c r="J192" i="142"/>
  <c r="J190" i="142"/>
  <c r="J186" i="142"/>
  <c r="J185" i="142"/>
  <c r="J184" i="142"/>
  <c r="J183" i="142"/>
  <c r="J182" i="142"/>
  <c r="J180" i="142"/>
  <c r="J179" i="142"/>
  <c r="J174" i="142"/>
  <c r="J173" i="142"/>
  <c r="J169" i="142"/>
  <c r="J170" i="142" s="1"/>
  <c r="K56" i="143"/>
  <c r="C48" i="139"/>
  <c r="K48" i="108"/>
  <c r="F46" i="139"/>
  <c r="K46" i="108" s="1"/>
  <c r="C45" i="139"/>
  <c r="F45" i="139"/>
  <c r="K45" i="108" s="1"/>
  <c r="J43" i="108"/>
  <c r="E419" i="143"/>
  <c r="I43" i="108"/>
  <c r="B45" i="139"/>
  <c r="F420" i="143"/>
  <c r="E12" i="158"/>
  <c r="K26" i="108"/>
  <c r="F23" i="139"/>
  <c r="K24" i="108" s="1"/>
  <c r="B23" i="139"/>
  <c r="F22" i="139"/>
  <c r="K23" i="108" s="1"/>
  <c r="K16" i="108"/>
  <c r="K9" i="108"/>
  <c r="K8" i="108"/>
  <c r="B22" i="139"/>
  <c r="H234" i="142"/>
  <c r="D234" i="142"/>
  <c r="H233" i="142"/>
  <c r="H232" i="142"/>
  <c r="H231" i="142"/>
  <c r="H230" i="142"/>
  <c r="H229" i="142"/>
  <c r="H224" i="142"/>
  <c r="H223" i="142"/>
  <c r="H222" i="142"/>
  <c r="H221" i="142"/>
  <c r="H220" i="142"/>
  <c r="H218" i="142"/>
  <c r="H216" i="142"/>
  <c r="H212" i="142"/>
  <c r="H206" i="142"/>
  <c r="H211" i="142"/>
  <c r="H210" i="142"/>
  <c r="D210" i="142"/>
  <c r="H208" i="142"/>
  <c r="H207" i="142"/>
  <c r="H205" i="142"/>
  <c r="H202" i="142"/>
  <c r="H204" i="142"/>
  <c r="H198" i="142"/>
  <c r="H197" i="142"/>
  <c r="H190" i="142"/>
  <c r="H192" i="142"/>
  <c r="H193" i="142"/>
  <c r="H194" i="142"/>
  <c r="D194" i="142"/>
  <c r="D190" i="142"/>
  <c r="D192" i="142"/>
  <c r="D193" i="142"/>
  <c r="D197" i="142"/>
  <c r="D198" i="142"/>
  <c r="H183" i="142"/>
  <c r="D183" i="142"/>
  <c r="H186" i="142"/>
  <c r="H185" i="142"/>
  <c r="H179" i="142"/>
  <c r="H180" i="142"/>
  <c r="H182" i="142"/>
  <c r="H184" i="142"/>
  <c r="D185" i="142"/>
  <c r="D180" i="142"/>
  <c r="D182" i="142"/>
  <c r="H174" i="142"/>
  <c r="H173" i="142"/>
  <c r="H169" i="142"/>
  <c r="H170" i="142" s="1"/>
  <c r="D169" i="142"/>
  <c r="I223" i="143"/>
  <c r="I222" i="143"/>
  <c r="AC222" i="143" s="1"/>
  <c r="I210" i="143"/>
  <c r="I179" i="143"/>
  <c r="AC179" i="143" s="1"/>
  <c r="I178" i="143"/>
  <c r="AC178" i="143" s="1"/>
  <c r="I177" i="143"/>
  <c r="AC177" i="143" s="1"/>
  <c r="I176" i="143"/>
  <c r="AC176" i="143" s="1"/>
  <c r="I65" i="143"/>
  <c r="I77" i="143"/>
  <c r="I141" i="143"/>
  <c r="I149" i="143"/>
  <c r="K42" i="108"/>
  <c r="I15" i="143"/>
  <c r="I36" i="148"/>
  <c r="D6" i="142"/>
  <c r="D212" i="142"/>
  <c r="D231" i="142"/>
  <c r="D229" i="142"/>
  <c r="D232" i="142"/>
  <c r="D233" i="142"/>
  <c r="D220" i="142"/>
  <c r="D211" i="142"/>
  <c r="D202" i="142"/>
  <c r="D205" i="142"/>
  <c r="D207" i="142"/>
  <c r="J15" i="145"/>
  <c r="J10" i="145"/>
  <c r="D216" i="142"/>
  <c r="D221" i="142"/>
  <c r="D222" i="142"/>
  <c r="D223" i="142"/>
  <c r="D224" i="142"/>
  <c r="I15" i="145"/>
  <c r="H15" i="145"/>
  <c r="G15" i="145"/>
  <c r="G10" i="145"/>
  <c r="F15" i="145"/>
  <c r="F10" i="145"/>
  <c r="E15" i="145"/>
  <c r="D15" i="145"/>
  <c r="C15" i="145"/>
  <c r="C10" i="145"/>
  <c r="I10" i="145"/>
  <c r="H10" i="145"/>
  <c r="E10" i="145"/>
  <c r="D10" i="145"/>
  <c r="C18" i="109"/>
  <c r="D18" i="109"/>
  <c r="E18" i="109"/>
  <c r="F18" i="109"/>
  <c r="F30" i="109"/>
  <c r="F26" i="109"/>
  <c r="G26" i="109"/>
  <c r="G30" i="109"/>
  <c r="G18" i="109"/>
  <c r="H18" i="109"/>
  <c r="C26" i="109"/>
  <c r="D26" i="109"/>
  <c r="E26" i="109"/>
  <c r="H26" i="109"/>
  <c r="C30" i="109"/>
  <c r="D30" i="109"/>
  <c r="E30" i="109"/>
  <c r="H30" i="109"/>
  <c r="H31" i="109" s="1"/>
  <c r="H34" i="109" s="1"/>
  <c r="B12" i="108"/>
  <c r="C12" i="108"/>
  <c r="C19" i="108"/>
  <c r="C23" i="108"/>
  <c r="D12" i="108"/>
  <c r="B19" i="108"/>
  <c r="D19" i="108"/>
  <c r="C29" i="108"/>
  <c r="C30" i="108"/>
  <c r="C31" i="108"/>
  <c r="B32" i="108"/>
  <c r="D32" i="108"/>
  <c r="C33" i="108"/>
  <c r="C34" i="108"/>
  <c r="B35" i="108"/>
  <c r="B38" i="108"/>
  <c r="B41" i="108"/>
  <c r="D35" i="108"/>
  <c r="D38" i="108"/>
  <c r="C36" i="108"/>
  <c r="C37" i="108"/>
  <c r="C39" i="108"/>
  <c r="E39" i="108"/>
  <c r="C42" i="108"/>
  <c r="E42" i="108"/>
  <c r="C43" i="108"/>
  <c r="E43" i="108"/>
  <c r="C45" i="108"/>
  <c r="E45" i="108"/>
  <c r="E46" i="108"/>
  <c r="E48" i="108"/>
  <c r="L7" i="82"/>
  <c r="L17" i="82" s="1"/>
  <c r="P22" i="89"/>
  <c r="P14" i="89"/>
  <c r="V17" i="88"/>
  <c r="V23" i="88" s="1"/>
  <c r="W17" i="88"/>
  <c r="W23" i="88" s="1"/>
  <c r="T12" i="87"/>
  <c r="P16" i="86"/>
  <c r="O16" i="86"/>
  <c r="V19" i="85"/>
  <c r="V15" i="85"/>
  <c r="V11" i="85"/>
  <c r="T37" i="84"/>
  <c r="T26" i="84"/>
  <c r="T15" i="84"/>
  <c r="K80" i="80"/>
  <c r="K84" i="80" s="1"/>
  <c r="I80" i="80"/>
  <c r="I86" i="80" s="1"/>
  <c r="I95" i="80" s="1"/>
  <c r="G80" i="80"/>
  <c r="G84" i="80" s="1"/>
  <c r="E93" i="80"/>
  <c r="E80" i="80"/>
  <c r="E58" i="80"/>
  <c r="K45" i="80"/>
  <c r="I45" i="80"/>
  <c r="I51" i="80" s="1"/>
  <c r="I60" i="80" s="1"/>
  <c r="G45" i="80"/>
  <c r="G49" i="80" s="1"/>
  <c r="E45" i="80"/>
  <c r="E51" i="80" s="1"/>
  <c r="E60" i="80" s="1"/>
  <c r="E64" i="80" s="1"/>
  <c r="M129" i="99"/>
  <c r="I26" i="99"/>
  <c r="I38" i="99"/>
  <c r="I39" i="99"/>
  <c r="I69" i="99"/>
  <c r="I132" i="99"/>
  <c r="M46" i="83"/>
  <c r="M45" i="83"/>
  <c r="M44" i="83"/>
  <c r="M40" i="83"/>
  <c r="M39" i="83"/>
  <c r="M38" i="83"/>
  <c r="M34" i="83"/>
  <c r="M33" i="83"/>
  <c r="M32" i="83"/>
  <c r="M31" i="83"/>
  <c r="M30" i="83"/>
  <c r="M29" i="83"/>
  <c r="M28" i="83"/>
  <c r="M24" i="83"/>
  <c r="M23" i="83"/>
  <c r="M22" i="83"/>
  <c r="M21" i="83"/>
  <c r="M20" i="83"/>
  <c r="M19" i="83"/>
  <c r="M18" i="83"/>
  <c r="M14" i="83"/>
  <c r="M13" i="83"/>
  <c r="M12" i="83"/>
  <c r="M11" i="83"/>
  <c r="M10" i="83"/>
  <c r="M9" i="83"/>
  <c r="E46" i="83"/>
  <c r="E45" i="83"/>
  <c r="E44" i="83"/>
  <c r="E40" i="83"/>
  <c r="E39" i="83"/>
  <c r="E38" i="83"/>
  <c r="E34" i="83"/>
  <c r="E33" i="83"/>
  <c r="E32" i="83"/>
  <c r="E31" i="83"/>
  <c r="E30" i="83"/>
  <c r="E29" i="83"/>
  <c r="E28" i="83"/>
  <c r="E24" i="83"/>
  <c r="E23" i="83"/>
  <c r="E22" i="83"/>
  <c r="E21" i="83"/>
  <c r="E20" i="83"/>
  <c r="E19" i="83"/>
  <c r="E18" i="83"/>
  <c r="E14" i="83"/>
  <c r="E13" i="83"/>
  <c r="E12" i="83"/>
  <c r="E11" i="83"/>
  <c r="E9" i="83"/>
  <c r="K32" i="82"/>
  <c r="L32" i="82"/>
  <c r="K17" i="82"/>
  <c r="J32" i="82"/>
  <c r="J17" i="82"/>
  <c r="C14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Q14" i="89"/>
  <c r="K18" i="89"/>
  <c r="K22" i="89" s="1"/>
  <c r="C22" i="89"/>
  <c r="D22" i="89"/>
  <c r="E22" i="89"/>
  <c r="F22" i="89"/>
  <c r="G22" i="89"/>
  <c r="H22" i="89"/>
  <c r="I22" i="89"/>
  <c r="J22" i="89"/>
  <c r="L22" i="89"/>
  <c r="M22" i="89"/>
  <c r="N22" i="89"/>
  <c r="O22" i="89"/>
  <c r="Q22" i="89"/>
  <c r="D7" i="88"/>
  <c r="D17" i="88" s="1"/>
  <c r="G7" i="88"/>
  <c r="G17" i="88" s="1"/>
  <c r="I7" i="88"/>
  <c r="I17" i="88" s="1"/>
  <c r="I19" i="88"/>
  <c r="I21" i="88"/>
  <c r="B17" i="88"/>
  <c r="B23" i="88" s="1"/>
  <c r="C17" i="88"/>
  <c r="C23" i="88" s="1"/>
  <c r="F17" i="88"/>
  <c r="H17" i="88"/>
  <c r="H23" i="88" s="1"/>
  <c r="J17" i="88"/>
  <c r="J23" i="88" s="1"/>
  <c r="K17" i="88"/>
  <c r="K23" i="88" s="1"/>
  <c r="L17" i="88"/>
  <c r="L23" i="88" s="1"/>
  <c r="M17" i="88"/>
  <c r="M23" i="88" s="1"/>
  <c r="N17" i="88"/>
  <c r="N23" i="88" s="1"/>
  <c r="O17" i="88"/>
  <c r="O23" i="88" s="1"/>
  <c r="P17" i="88"/>
  <c r="P23" i="88" s="1"/>
  <c r="Q17" i="88"/>
  <c r="Q23" i="88" s="1"/>
  <c r="R17" i="88"/>
  <c r="R23" i="88" s="1"/>
  <c r="S17" i="88"/>
  <c r="S23" i="88" s="1"/>
  <c r="T17" i="88"/>
  <c r="T23" i="88" s="1"/>
  <c r="U17" i="88"/>
  <c r="U23" i="88" s="1"/>
  <c r="X17" i="88"/>
  <c r="X23" i="88" s="1"/>
  <c r="D19" i="88"/>
  <c r="G19" i="88"/>
  <c r="G21" i="88"/>
  <c r="D21" i="88"/>
  <c r="H8" i="87"/>
  <c r="H12" i="87" s="1"/>
  <c r="J8" i="87"/>
  <c r="J12" i="87" s="1"/>
  <c r="F12" i="87"/>
  <c r="G12" i="87"/>
  <c r="I12" i="87"/>
  <c r="K12" i="87"/>
  <c r="L12" i="87"/>
  <c r="M12" i="87"/>
  <c r="N12" i="87"/>
  <c r="O12" i="87"/>
  <c r="P12" i="87"/>
  <c r="Q12" i="87"/>
  <c r="R12" i="87"/>
  <c r="S12" i="87"/>
  <c r="U12" i="87"/>
  <c r="B16" i="86"/>
  <c r="C16" i="86"/>
  <c r="D16" i="86"/>
  <c r="E16" i="86"/>
  <c r="F16" i="86"/>
  <c r="G16" i="86"/>
  <c r="H16" i="86"/>
  <c r="I16" i="86"/>
  <c r="J16" i="86"/>
  <c r="K16" i="86"/>
  <c r="L16" i="86"/>
  <c r="M16" i="86"/>
  <c r="N16" i="86"/>
  <c r="Q16" i="86"/>
  <c r="C11" i="85"/>
  <c r="D11" i="85"/>
  <c r="D15" i="85"/>
  <c r="D19" i="85"/>
  <c r="E11" i="85"/>
  <c r="F11" i="85"/>
  <c r="G11" i="85"/>
  <c r="G15" i="85"/>
  <c r="G19" i="85"/>
  <c r="H11" i="85"/>
  <c r="I11" i="85"/>
  <c r="J11" i="85"/>
  <c r="K11" i="85"/>
  <c r="L11" i="85"/>
  <c r="M11" i="85"/>
  <c r="N11" i="85"/>
  <c r="O11" i="85"/>
  <c r="O15" i="85"/>
  <c r="O19" i="85"/>
  <c r="P11" i="85"/>
  <c r="Q11" i="85"/>
  <c r="Q15" i="85"/>
  <c r="Q19" i="85"/>
  <c r="R11" i="85"/>
  <c r="S11" i="85"/>
  <c r="T11" i="85"/>
  <c r="U11" i="85"/>
  <c r="W11" i="85"/>
  <c r="C15" i="85"/>
  <c r="E15" i="85"/>
  <c r="E19" i="85"/>
  <c r="F15" i="85"/>
  <c r="H15" i="85"/>
  <c r="I15" i="85"/>
  <c r="J15" i="85"/>
  <c r="K15" i="85"/>
  <c r="L15" i="85"/>
  <c r="M15" i="85"/>
  <c r="N15" i="85"/>
  <c r="N19" i="85"/>
  <c r="P15" i="85"/>
  <c r="R15" i="85"/>
  <c r="S15" i="85"/>
  <c r="S19" i="85"/>
  <c r="T15" i="85"/>
  <c r="U15" i="85"/>
  <c r="W15" i="85"/>
  <c r="C19" i="85"/>
  <c r="F19" i="85"/>
  <c r="H19" i="85"/>
  <c r="I19" i="85"/>
  <c r="J19" i="85"/>
  <c r="K19" i="85"/>
  <c r="L19" i="85"/>
  <c r="M19" i="85"/>
  <c r="P19" i="85"/>
  <c r="R19" i="85"/>
  <c r="T19" i="85"/>
  <c r="U19" i="85"/>
  <c r="W19" i="85"/>
  <c r="C15" i="84"/>
  <c r="D15" i="84"/>
  <c r="E15" i="84"/>
  <c r="E37" i="84"/>
  <c r="E26" i="84"/>
  <c r="F15" i="84"/>
  <c r="G15" i="84"/>
  <c r="H15" i="84"/>
  <c r="I15" i="84"/>
  <c r="J15" i="84"/>
  <c r="K15" i="84"/>
  <c r="L15" i="84"/>
  <c r="M15" i="84"/>
  <c r="N15" i="84"/>
  <c r="O15" i="84"/>
  <c r="P15" i="84"/>
  <c r="Q15" i="84"/>
  <c r="Q37" i="84"/>
  <c r="Q26" i="84"/>
  <c r="R15" i="84"/>
  <c r="S15" i="84"/>
  <c r="S37" i="84"/>
  <c r="S26" i="84"/>
  <c r="U15" i="84"/>
  <c r="L25" i="84"/>
  <c r="L26" i="84" s="1"/>
  <c r="C26" i="84"/>
  <c r="D26" i="84"/>
  <c r="F26" i="84"/>
  <c r="G26" i="84"/>
  <c r="H26" i="84"/>
  <c r="I26" i="84"/>
  <c r="J26" i="84"/>
  <c r="K26" i="84"/>
  <c r="K37" i="84"/>
  <c r="M26" i="84"/>
  <c r="N26" i="84"/>
  <c r="O26" i="84"/>
  <c r="P26" i="84"/>
  <c r="P37" i="84"/>
  <c r="R26" i="84"/>
  <c r="U26" i="84"/>
  <c r="L36" i="84"/>
  <c r="L37" i="84" s="1"/>
  <c r="C37" i="84"/>
  <c r="D37" i="84"/>
  <c r="F37" i="84"/>
  <c r="G37" i="84"/>
  <c r="H37" i="84"/>
  <c r="I37" i="84"/>
  <c r="J37" i="84"/>
  <c r="M37" i="84"/>
  <c r="N37" i="84"/>
  <c r="O37" i="84"/>
  <c r="R37" i="84"/>
  <c r="U37" i="84"/>
  <c r="H9" i="83"/>
  <c r="P9" i="83"/>
  <c r="P10" i="83"/>
  <c r="H11" i="83"/>
  <c r="P11" i="83"/>
  <c r="H12" i="83"/>
  <c r="P12" i="83"/>
  <c r="H13" i="83"/>
  <c r="P13" i="83"/>
  <c r="H14" i="83"/>
  <c r="P14" i="83"/>
  <c r="C15" i="83"/>
  <c r="D15" i="83"/>
  <c r="F15" i="83"/>
  <c r="G15" i="83"/>
  <c r="K15" i="83"/>
  <c r="L15" i="83"/>
  <c r="N15" i="83"/>
  <c r="O15" i="83"/>
  <c r="H18" i="83"/>
  <c r="P18" i="83"/>
  <c r="P19" i="83"/>
  <c r="P20" i="83"/>
  <c r="P21" i="83"/>
  <c r="P22" i="83"/>
  <c r="P23" i="83"/>
  <c r="P24" i="83"/>
  <c r="H19" i="83"/>
  <c r="H20" i="83"/>
  <c r="H21" i="83"/>
  <c r="H22" i="83"/>
  <c r="H23" i="83"/>
  <c r="H24" i="83"/>
  <c r="C25" i="83"/>
  <c r="D25" i="83"/>
  <c r="F25" i="83"/>
  <c r="G25" i="83"/>
  <c r="G35" i="83"/>
  <c r="G41" i="83"/>
  <c r="G47" i="83"/>
  <c r="F35" i="83"/>
  <c r="F41" i="83"/>
  <c r="F47" i="83"/>
  <c r="K25" i="83"/>
  <c r="L25" i="83"/>
  <c r="N25" i="83"/>
  <c r="O25" i="83"/>
  <c r="O35" i="83"/>
  <c r="O41" i="83"/>
  <c r="O47" i="83"/>
  <c r="H28" i="83"/>
  <c r="P28" i="83"/>
  <c r="H29" i="83"/>
  <c r="P29" i="83"/>
  <c r="H30" i="83"/>
  <c r="P30" i="83"/>
  <c r="H31" i="83"/>
  <c r="P31" i="83"/>
  <c r="H32" i="83"/>
  <c r="P32" i="83"/>
  <c r="H33" i="83"/>
  <c r="P33" i="83"/>
  <c r="H34" i="83"/>
  <c r="P34" i="83"/>
  <c r="C35" i="83"/>
  <c r="D35" i="83"/>
  <c r="D47" i="83"/>
  <c r="D41" i="83"/>
  <c r="K35" i="83"/>
  <c r="L35" i="83"/>
  <c r="L47" i="83"/>
  <c r="L41" i="83"/>
  <c r="N35" i="83"/>
  <c r="H38" i="83"/>
  <c r="P38" i="83"/>
  <c r="H39" i="83"/>
  <c r="P39" i="83"/>
  <c r="H40" i="83"/>
  <c r="P40" i="83"/>
  <c r="C41" i="83"/>
  <c r="K41" i="83"/>
  <c r="N41" i="83"/>
  <c r="H44" i="83"/>
  <c r="P44" i="83"/>
  <c r="H45" i="83"/>
  <c r="P45" i="83"/>
  <c r="H46" i="83"/>
  <c r="P46" i="83"/>
  <c r="C47" i="83"/>
  <c r="K47" i="83"/>
  <c r="N47" i="83"/>
  <c r="I7" i="82"/>
  <c r="I17" i="82" s="1"/>
  <c r="B17" i="82"/>
  <c r="C17" i="82"/>
  <c r="D17" i="82"/>
  <c r="E17" i="82"/>
  <c r="F17" i="82"/>
  <c r="G17" i="82"/>
  <c r="H17" i="82"/>
  <c r="B32" i="82"/>
  <c r="C32" i="82"/>
  <c r="D32" i="82"/>
  <c r="E32" i="82"/>
  <c r="F32" i="82"/>
  <c r="G32" i="82"/>
  <c r="H32" i="82"/>
  <c r="I32" i="82"/>
  <c r="G111" i="80"/>
  <c r="G123" i="80"/>
  <c r="H155" i="80"/>
  <c r="G194" i="80"/>
  <c r="J257" i="80"/>
  <c r="J258" i="80"/>
  <c r="J259" i="80"/>
  <c r="F260" i="80"/>
  <c r="H260" i="80"/>
  <c r="M128" i="99"/>
  <c r="I134" i="143"/>
  <c r="E67" i="80"/>
  <c r="F58" i="156"/>
  <c r="F59" i="156" s="1"/>
  <c r="C31" i="139" l="1"/>
  <c r="F422" i="143"/>
  <c r="AC243" i="143"/>
  <c r="I255" i="143"/>
  <c r="AC141" i="143"/>
  <c r="AC23" i="143"/>
  <c r="AC77" i="143"/>
  <c r="AC132" i="143"/>
  <c r="AC134" i="143" s="1"/>
  <c r="AC223" i="143"/>
  <c r="AC239" i="143"/>
  <c r="AC244" i="143"/>
  <c r="AC55" i="143"/>
  <c r="AC56" i="143" s="1"/>
  <c r="AC58" i="143"/>
  <c r="AC250" i="143"/>
  <c r="AC29" i="143"/>
  <c r="H39" i="139"/>
  <c r="M39" i="108" s="1"/>
  <c r="AC404" i="143"/>
  <c r="AC149" i="143"/>
  <c r="AC189" i="143"/>
  <c r="AC195" i="143" s="1"/>
  <c r="AC228" i="143"/>
  <c r="AC286" i="143"/>
  <c r="AC18" i="143"/>
  <c r="AC5" i="143"/>
  <c r="AC251" i="143"/>
  <c r="AC57" i="143"/>
  <c r="AC373" i="143"/>
  <c r="V169" i="147"/>
  <c r="I31" i="109"/>
  <c r="AC186" i="143"/>
  <c r="H67" i="142"/>
  <c r="O62" i="142"/>
  <c r="O67" i="142" s="1"/>
  <c r="N62" i="142"/>
  <c r="N67" i="142" s="1"/>
  <c r="O76" i="142"/>
  <c r="N76" i="142"/>
  <c r="H89" i="142"/>
  <c r="H240" i="142"/>
  <c r="O239" i="142"/>
  <c r="O240" i="142" s="1"/>
  <c r="N239" i="142"/>
  <c r="N240" i="142" s="1"/>
  <c r="J158" i="146"/>
  <c r="I410" i="143"/>
  <c r="AC412" i="143" s="1"/>
  <c r="AC409" i="143"/>
  <c r="AC410" i="143" s="1"/>
  <c r="K11" i="108"/>
  <c r="H162" i="142"/>
  <c r="O161" i="142"/>
  <c r="O162" i="142" s="1"/>
  <c r="N161" i="142"/>
  <c r="N162" i="142" s="1"/>
  <c r="O79" i="142"/>
  <c r="N79" i="142"/>
  <c r="N130" i="142"/>
  <c r="N149" i="142" s="1"/>
  <c r="O130" i="142"/>
  <c r="O149" i="142" s="1"/>
  <c r="H149" i="142"/>
  <c r="H151" i="142" s="1"/>
  <c r="I370" i="143"/>
  <c r="AC369" i="143"/>
  <c r="AC370" i="143" s="1"/>
  <c r="H118" i="142"/>
  <c r="O112" i="142"/>
  <c r="O118" i="142" s="1"/>
  <c r="N112" i="142"/>
  <c r="N118" i="142" s="1"/>
  <c r="J76" i="147"/>
  <c r="K158" i="146"/>
  <c r="O123" i="142"/>
  <c r="O127" i="142" s="1"/>
  <c r="N123" i="142"/>
  <c r="N127" i="142" s="1"/>
  <c r="O182" i="142"/>
  <c r="N182" i="142"/>
  <c r="O180" i="142"/>
  <c r="N180" i="142"/>
  <c r="O173" i="142"/>
  <c r="N173" i="142"/>
  <c r="O186" i="142"/>
  <c r="N186" i="142"/>
  <c r="O190" i="142"/>
  <c r="N190" i="142"/>
  <c r="O202" i="142"/>
  <c r="N202" i="142"/>
  <c r="O212" i="142"/>
  <c r="N212" i="142"/>
  <c r="O220" i="142"/>
  <c r="N220" i="142"/>
  <c r="O224" i="142"/>
  <c r="N224" i="142"/>
  <c r="O232" i="142"/>
  <c r="N232" i="142"/>
  <c r="O194" i="142"/>
  <c r="N194" i="142"/>
  <c r="O197" i="142"/>
  <c r="N197" i="142"/>
  <c r="O205" i="142"/>
  <c r="N205" i="142"/>
  <c r="O210" i="142"/>
  <c r="N210" i="142"/>
  <c r="O216" i="142"/>
  <c r="N216" i="142"/>
  <c r="O221" i="142"/>
  <c r="N221" i="142"/>
  <c r="O229" i="142"/>
  <c r="N229" i="142"/>
  <c r="O233" i="142"/>
  <c r="N233" i="142"/>
  <c r="O174" i="142"/>
  <c r="N174" i="142"/>
  <c r="O179" i="142"/>
  <c r="N179" i="142"/>
  <c r="O183" i="142"/>
  <c r="N183" i="142"/>
  <c r="O193" i="142"/>
  <c r="N193" i="142"/>
  <c r="O198" i="142"/>
  <c r="N198" i="142"/>
  <c r="O207" i="142"/>
  <c r="N207" i="142"/>
  <c r="O211" i="142"/>
  <c r="N211" i="142"/>
  <c r="O222" i="142"/>
  <c r="N222" i="142"/>
  <c r="O230" i="142"/>
  <c r="N230" i="142"/>
  <c r="O169" i="142"/>
  <c r="O170" i="142" s="1"/>
  <c r="N169" i="142"/>
  <c r="N170" i="142" s="1"/>
  <c r="O184" i="142"/>
  <c r="N184" i="142"/>
  <c r="O185" i="142"/>
  <c r="N185" i="142"/>
  <c r="O192" i="142"/>
  <c r="N192" i="142"/>
  <c r="O204" i="142"/>
  <c r="N204" i="142"/>
  <c r="O208" i="142"/>
  <c r="N208" i="142"/>
  <c r="O206" i="142"/>
  <c r="N206" i="142"/>
  <c r="O218" i="142"/>
  <c r="N218" i="142"/>
  <c r="O223" i="142"/>
  <c r="N223" i="142"/>
  <c r="O231" i="142"/>
  <c r="N231" i="142"/>
  <c r="O234" i="142"/>
  <c r="N234" i="142"/>
  <c r="H42" i="139"/>
  <c r="M42" i="108" s="1"/>
  <c r="H40" i="139"/>
  <c r="J188" i="142"/>
  <c r="E4" i="150"/>
  <c r="K14" i="143"/>
  <c r="E8" i="150"/>
  <c r="K27" i="143"/>
  <c r="AC7" i="143" s="1"/>
  <c r="E20" i="150"/>
  <c r="K68" i="143"/>
  <c r="K91" i="143"/>
  <c r="I345" i="143"/>
  <c r="H217" i="142" s="1"/>
  <c r="O217" i="142" s="1"/>
  <c r="K334" i="143"/>
  <c r="E41" i="150"/>
  <c r="E42" i="150" s="1"/>
  <c r="K257" i="143"/>
  <c r="S18" i="109"/>
  <c r="S30" i="109"/>
  <c r="E5" i="150"/>
  <c r="K16" i="143"/>
  <c r="E11" i="150"/>
  <c r="E21" i="150"/>
  <c r="K71" i="143"/>
  <c r="E30" i="150"/>
  <c r="E31" i="150" s="1"/>
  <c r="K100" i="143"/>
  <c r="E49" i="150"/>
  <c r="E50" i="150" s="1"/>
  <c r="E52" i="150" s="1"/>
  <c r="K273" i="143"/>
  <c r="E12" i="150"/>
  <c r="K40" i="143"/>
  <c r="J169" i="147"/>
  <c r="E13" i="150"/>
  <c r="K42" i="143"/>
  <c r="AC42" i="143" s="1"/>
  <c r="E22" i="150"/>
  <c r="K75" i="143"/>
  <c r="AC75" i="143" s="1"/>
  <c r="E37" i="150"/>
  <c r="K245" i="143"/>
  <c r="E57" i="150"/>
  <c r="E58" i="150" s="1"/>
  <c r="E64" i="150" s="1"/>
  <c r="T30" i="109"/>
  <c r="K384" i="143"/>
  <c r="K394" i="143" s="1"/>
  <c r="V76" i="147"/>
  <c r="I10" i="143"/>
  <c r="K10" i="143"/>
  <c r="E7" i="150"/>
  <c r="K26" i="143"/>
  <c r="E19" i="150"/>
  <c r="K67" i="143"/>
  <c r="E23" i="150"/>
  <c r="K76" i="143"/>
  <c r="AC76" i="143" s="1"/>
  <c r="K416" i="143"/>
  <c r="AC66" i="143" s="1"/>
  <c r="J89" i="142"/>
  <c r="J151" i="142" s="1"/>
  <c r="J237" i="142"/>
  <c r="J214" i="142"/>
  <c r="J200" i="142"/>
  <c r="I160" i="143"/>
  <c r="K160" i="143"/>
  <c r="AC31" i="143" s="1"/>
  <c r="I153" i="143"/>
  <c r="K153" i="143"/>
  <c r="AC28" i="143" s="1"/>
  <c r="I140" i="143"/>
  <c r="K140" i="143"/>
  <c r="AC22" i="143" s="1"/>
  <c r="K227" i="147"/>
  <c r="V20" i="109"/>
  <c r="W227" i="147"/>
  <c r="V21" i="109" s="1"/>
  <c r="K158" i="143"/>
  <c r="E6" i="150"/>
  <c r="E202" i="143"/>
  <c r="I195" i="147"/>
  <c r="I227" i="147" s="1"/>
  <c r="F14" i="150"/>
  <c r="D24" i="89"/>
  <c r="N30" i="109"/>
  <c r="C57" i="150"/>
  <c r="C58" i="150" s="1"/>
  <c r="C64" i="150" s="1"/>
  <c r="C30" i="150"/>
  <c r="C31" i="150" s="1"/>
  <c r="E27" i="143"/>
  <c r="C8" i="150"/>
  <c r="E14" i="143"/>
  <c r="C4" i="150"/>
  <c r="E3" i="150"/>
  <c r="E38" i="150"/>
  <c r="F39" i="150"/>
  <c r="E273" i="143"/>
  <c r="E274" i="143" s="1"/>
  <c r="E281" i="143" s="1"/>
  <c r="C49" i="150"/>
  <c r="C50" i="150" s="1"/>
  <c r="C52" i="150" s="1"/>
  <c r="E91" i="143"/>
  <c r="E97" i="143" s="1"/>
  <c r="C27" i="150"/>
  <c r="C28" i="150" s="1"/>
  <c r="E71" i="143"/>
  <c r="C21" i="150"/>
  <c r="E67" i="143"/>
  <c r="C19" i="150"/>
  <c r="E42" i="143"/>
  <c r="C13" i="150"/>
  <c r="C14" i="150" s="1"/>
  <c r="E26" i="143"/>
  <c r="C7" i="150"/>
  <c r="E257" i="143"/>
  <c r="D155" i="142" s="1"/>
  <c r="C41" i="150"/>
  <c r="C42" i="150" s="1"/>
  <c r="I97" i="143"/>
  <c r="E27" i="150"/>
  <c r="E28" i="150" s="1"/>
  <c r="F9" i="150"/>
  <c r="E263" i="143"/>
  <c r="E269" i="143" s="1"/>
  <c r="C44" i="150"/>
  <c r="C45" i="150" s="1"/>
  <c r="E245" i="143"/>
  <c r="C37" i="150"/>
  <c r="E18" i="143"/>
  <c r="C6" i="150"/>
  <c r="F41" i="150"/>
  <c r="F42" i="150" s="1"/>
  <c r="F24" i="150"/>
  <c r="F34" i="150" s="1"/>
  <c r="E244" i="143"/>
  <c r="C36" i="150"/>
  <c r="E76" i="143"/>
  <c r="C23" i="150"/>
  <c r="E16" i="143"/>
  <c r="C5" i="150"/>
  <c r="G24" i="89"/>
  <c r="C24" i="89"/>
  <c r="I113" i="143"/>
  <c r="F5" i="154"/>
  <c r="I24" i="89"/>
  <c r="E24" i="89"/>
  <c r="I40" i="108"/>
  <c r="I42" i="108"/>
  <c r="I26" i="108"/>
  <c r="I45" i="108"/>
  <c r="E49" i="80"/>
  <c r="J24" i="89"/>
  <c r="I23" i="108"/>
  <c r="I46" i="108"/>
  <c r="I8" i="108"/>
  <c r="I18" i="108"/>
  <c r="H24" i="89"/>
  <c r="J17" i="145"/>
  <c r="I7" i="108"/>
  <c r="I24" i="108"/>
  <c r="I48" i="108"/>
  <c r="F22" i="108"/>
  <c r="F25" i="108" s="1"/>
  <c r="F27" i="108" s="1"/>
  <c r="I39" i="108"/>
  <c r="F63" i="143"/>
  <c r="F79" i="143" s="1"/>
  <c r="F123" i="143" s="1"/>
  <c r="F164" i="143" s="1"/>
  <c r="F186" i="143" s="1"/>
  <c r="C12" i="158"/>
  <c r="C14" i="158" s="1"/>
  <c r="I61" i="143"/>
  <c r="V17" i="109"/>
  <c r="J24" i="108"/>
  <c r="J8" i="108"/>
  <c r="J31" i="108"/>
  <c r="J45" i="108"/>
  <c r="J18" i="108"/>
  <c r="J46" i="108"/>
  <c r="D23" i="157"/>
  <c r="D25" i="157" s="1"/>
  <c r="J48" i="108"/>
  <c r="J23" i="108"/>
  <c r="V22" i="85"/>
  <c r="J26" i="108"/>
  <c r="J16" i="108"/>
  <c r="J9" i="108"/>
  <c r="C40" i="139"/>
  <c r="C42" i="139"/>
  <c r="I269" i="143"/>
  <c r="U39" i="84"/>
  <c r="G39" i="84"/>
  <c r="G4" i="154"/>
  <c r="I67" i="80"/>
  <c r="R39" i="84"/>
  <c r="K22" i="85"/>
  <c r="E410" i="143"/>
  <c r="P15" i="83"/>
  <c r="O9" i="145"/>
  <c r="O10" i="145" s="1"/>
  <c r="O17" i="145" s="1"/>
  <c r="J16" i="141"/>
  <c r="E69" i="150"/>
  <c r="H35" i="83"/>
  <c r="F11" i="154"/>
  <c r="H21" i="142"/>
  <c r="E17" i="145"/>
  <c r="I49" i="80"/>
  <c r="K86" i="80"/>
  <c r="K95" i="80" s="1"/>
  <c r="I22" i="85"/>
  <c r="Q24" i="89"/>
  <c r="L24" i="89"/>
  <c r="C35" i="108"/>
  <c r="G11" i="154"/>
  <c r="I420" i="143"/>
  <c r="J260" i="80"/>
  <c r="M41" i="83"/>
  <c r="E35" i="83"/>
  <c r="M25" i="83"/>
  <c r="H47" i="83"/>
  <c r="H25" i="83"/>
  <c r="M15" i="83"/>
  <c r="E15" i="83"/>
  <c r="N39" i="84"/>
  <c r="F22" i="85"/>
  <c r="M22" i="85"/>
  <c r="M47" i="83"/>
  <c r="C38" i="108"/>
  <c r="H17" i="145"/>
  <c r="K17" i="145"/>
  <c r="M18" i="109"/>
  <c r="H158" i="146"/>
  <c r="U10" i="109"/>
  <c r="U18" i="109" s="1"/>
  <c r="V158" i="146"/>
  <c r="V10" i="109"/>
  <c r="W158" i="146"/>
  <c r="U22" i="85"/>
  <c r="P41" i="83"/>
  <c r="D22" i="85"/>
  <c r="I273" i="143"/>
  <c r="I274" i="143" s="1"/>
  <c r="I281" i="143" s="1"/>
  <c r="I294" i="143" s="1"/>
  <c r="H172" i="142" s="1"/>
  <c r="C49" i="83"/>
  <c r="H39" i="84"/>
  <c r="P39" i="84"/>
  <c r="R22" i="85"/>
  <c r="I130" i="99"/>
  <c r="M127" i="99" s="1"/>
  <c r="M132" i="99" s="1"/>
  <c r="G51" i="80"/>
  <c r="G60" i="80" s="1"/>
  <c r="C32" i="108"/>
  <c r="D22" i="108"/>
  <c r="D25" i="108" s="1"/>
  <c r="D27" i="108" s="1"/>
  <c r="D31" i="109"/>
  <c r="D34" i="109" s="1"/>
  <c r="I17" i="145"/>
  <c r="I394" i="143"/>
  <c r="I422" i="143" s="1"/>
  <c r="K269" i="143"/>
  <c r="AC277" i="143" s="1"/>
  <c r="AC279" i="143" s="1"/>
  <c r="E12" i="108"/>
  <c r="E32" i="108"/>
  <c r="V22" i="109"/>
  <c r="E37" i="143"/>
  <c r="F4" i="154"/>
  <c r="D256" i="142"/>
  <c r="D264" i="142" s="1"/>
  <c r="C43" i="156"/>
  <c r="C45" i="156" s="1"/>
  <c r="C53" i="156" s="1"/>
  <c r="C56" i="156" s="1"/>
  <c r="D43" i="142"/>
  <c r="D59" i="142" s="1"/>
  <c r="C6" i="157"/>
  <c r="C7" i="157" s="1"/>
  <c r="P35" i="83"/>
  <c r="V28" i="109"/>
  <c r="V30" i="109" s="1"/>
  <c r="V16" i="109"/>
  <c r="I84" i="80"/>
  <c r="L49" i="83"/>
  <c r="H22" i="85"/>
  <c r="I67" i="143"/>
  <c r="O22" i="85"/>
  <c r="F31" i="109"/>
  <c r="F34" i="109" s="1"/>
  <c r="D17" i="145"/>
  <c r="K39" i="108"/>
  <c r="F44" i="108"/>
  <c r="F47" i="108" s="1"/>
  <c r="F49" i="108" s="1"/>
  <c r="D5" i="154"/>
  <c r="I198" i="143"/>
  <c r="G22" i="85"/>
  <c r="V11" i="109"/>
  <c r="G67" i="80"/>
  <c r="G86" i="80"/>
  <c r="G95" i="80" s="1"/>
  <c r="N49" i="83"/>
  <c r="E41" i="83"/>
  <c r="D39" i="84"/>
  <c r="E17" i="88"/>
  <c r="E23" i="88" s="1"/>
  <c r="M24" i="89"/>
  <c r="P24" i="89"/>
  <c r="E40" i="108"/>
  <c r="E41" i="108" s="1"/>
  <c r="I195" i="143"/>
  <c r="I231" i="143" s="1"/>
  <c r="I14" i="143"/>
  <c r="D170" i="142"/>
  <c r="G22" i="108"/>
  <c r="G25" i="108" s="1"/>
  <c r="G27" i="108" s="1"/>
  <c r="L17" i="145"/>
  <c r="V12" i="109"/>
  <c r="O24" i="89"/>
  <c r="K24" i="89"/>
  <c r="C40" i="108"/>
  <c r="C41" i="108" s="1"/>
  <c r="C31" i="109"/>
  <c r="C34" i="109" s="1"/>
  <c r="V23" i="109"/>
  <c r="V14" i="109"/>
  <c r="H58" i="147"/>
  <c r="E264" i="142"/>
  <c r="H264" i="142"/>
  <c r="O49" i="83"/>
  <c r="P25" i="83"/>
  <c r="F49" i="83"/>
  <c r="J39" i="84"/>
  <c r="L39" i="84"/>
  <c r="W22" i="85"/>
  <c r="L22" i="85"/>
  <c r="N22" i="85"/>
  <c r="J22" i="85"/>
  <c r="C22" i="85"/>
  <c r="D23" i="88"/>
  <c r="G23" i="88"/>
  <c r="N24" i="89"/>
  <c r="F24" i="89"/>
  <c r="E62" i="80"/>
  <c r="G54" i="80" s="1"/>
  <c r="B44" i="108"/>
  <c r="B47" i="108" s="1"/>
  <c r="B49" i="108" s="1"/>
  <c r="E31" i="109"/>
  <c r="E34" i="109" s="1"/>
  <c r="J21" i="142"/>
  <c r="J22" i="142" s="1"/>
  <c r="J24" i="142" s="1"/>
  <c r="L31" i="109"/>
  <c r="L34" i="109" s="1"/>
  <c r="K31" i="109"/>
  <c r="K34" i="109" s="1"/>
  <c r="H22" i="108"/>
  <c r="H25" i="108" s="1"/>
  <c r="H27" i="108" s="1"/>
  <c r="H44" i="108"/>
  <c r="H47" i="108" s="1"/>
  <c r="H49" i="108" s="1"/>
  <c r="J71" i="147"/>
  <c r="M17" i="145"/>
  <c r="N17" i="145"/>
  <c r="E334" i="143"/>
  <c r="E345" i="143" s="1"/>
  <c r="D217" i="142" s="1"/>
  <c r="D227" i="142" s="1"/>
  <c r="F84" i="155"/>
  <c r="C10" i="139"/>
  <c r="E47" i="83"/>
  <c r="P47" i="83"/>
  <c r="H41" i="83"/>
  <c r="E25" i="83"/>
  <c r="I39" i="84"/>
  <c r="S39" i="84"/>
  <c r="O39" i="84"/>
  <c r="K39" i="84"/>
  <c r="T22" i="85"/>
  <c r="Q22" i="85"/>
  <c r="P22" i="85"/>
  <c r="I134" i="99"/>
  <c r="T39" i="84"/>
  <c r="B22" i="108"/>
  <c r="B25" i="108" s="1"/>
  <c r="B27" i="108" s="1"/>
  <c r="C22" i="108"/>
  <c r="C25" i="108" s="1"/>
  <c r="C27" i="108" s="1"/>
  <c r="G31" i="109"/>
  <c r="G34" i="109" s="1"/>
  <c r="C17" i="145"/>
  <c r="F17" i="145"/>
  <c r="G17" i="145"/>
  <c r="I34" i="109"/>
  <c r="G44" i="108"/>
  <c r="G47" i="108" s="1"/>
  <c r="G49" i="108" s="1"/>
  <c r="H37" i="147"/>
  <c r="V71" i="147"/>
  <c r="G6" i="154"/>
  <c r="E16" i="154"/>
  <c r="I21" i="108"/>
  <c r="K21" i="108"/>
  <c r="D18" i="155"/>
  <c r="E24" i="142"/>
  <c r="E164" i="142"/>
  <c r="E238" i="143"/>
  <c r="E242" i="142"/>
  <c r="K7" i="108"/>
  <c r="D11" i="142"/>
  <c r="D24" i="142" s="1"/>
  <c r="G49" i="83"/>
  <c r="H15" i="83"/>
  <c r="D44" i="108"/>
  <c r="D47" i="108" s="1"/>
  <c r="D49" i="108" s="1"/>
  <c r="I9" i="108"/>
  <c r="I257" i="143"/>
  <c r="M35" i="83"/>
  <c r="K49" i="83"/>
  <c r="E39" i="84"/>
  <c r="J7" i="108"/>
  <c r="G84" i="155"/>
  <c r="F6" i="154"/>
  <c r="E84" i="155"/>
  <c r="K67" i="80"/>
  <c r="K51" i="80"/>
  <c r="K60" i="80" s="1"/>
  <c r="D49" i="83"/>
  <c r="I23" i="88"/>
  <c r="K49" i="80"/>
  <c r="M39" i="84"/>
  <c r="Q39" i="84"/>
  <c r="F39" i="84"/>
  <c r="S22" i="85"/>
  <c r="E22" i="85"/>
  <c r="E84" i="80"/>
  <c r="E86" i="80"/>
  <c r="E95" i="80" s="1"/>
  <c r="E97" i="80" s="1"/>
  <c r="G89" i="80" s="1"/>
  <c r="E19" i="108"/>
  <c r="D6" i="154"/>
  <c r="J42" i="148"/>
  <c r="E251" i="143"/>
  <c r="E100" i="143"/>
  <c r="E113" i="143" s="1"/>
  <c r="E75" i="143"/>
  <c r="E68" i="143"/>
  <c r="E195" i="143"/>
  <c r="E140" i="143"/>
  <c r="D4" i="154"/>
  <c r="E283" i="143"/>
  <c r="E38" i="108"/>
  <c r="V37" i="147"/>
  <c r="H71" i="147"/>
  <c r="D31" i="155"/>
  <c r="G5" i="154"/>
  <c r="L42" i="148"/>
  <c r="F14" i="158"/>
  <c r="J21" i="108"/>
  <c r="D12" i="158"/>
  <c r="D14" i="158" s="1"/>
  <c r="J31" i="109"/>
  <c r="J34" i="109" s="1"/>
  <c r="E35" i="108"/>
  <c r="J37" i="147"/>
  <c r="E40" i="143"/>
  <c r="D44" i="155"/>
  <c r="X42" i="148"/>
  <c r="L9" i="151" s="1"/>
  <c r="E14" i="158"/>
  <c r="E10" i="143"/>
  <c r="F281" i="143"/>
  <c r="F294" i="143" s="1"/>
  <c r="F372" i="143" s="1"/>
  <c r="E380" i="143"/>
  <c r="E184" i="143"/>
  <c r="D143" i="142"/>
  <c r="D149" i="142" s="1"/>
  <c r="D151" i="142" s="1"/>
  <c r="E384" i="143"/>
  <c r="E394" i="143" s="1"/>
  <c r="B41" i="139"/>
  <c r="I89" i="143"/>
  <c r="H237" i="142"/>
  <c r="E314" i="143"/>
  <c r="E327" i="143"/>
  <c r="D200" i="142"/>
  <c r="E301" i="143"/>
  <c r="D179" i="142" s="1"/>
  <c r="D188" i="142" s="1"/>
  <c r="H214" i="142"/>
  <c r="E134" i="143"/>
  <c r="D237" i="142"/>
  <c r="H200" i="142"/>
  <c r="D214" i="142"/>
  <c r="H188" i="142"/>
  <c r="E58" i="156" l="1"/>
  <c r="E59" i="156" s="1"/>
  <c r="E255" i="143"/>
  <c r="H227" i="142"/>
  <c r="F240" i="143"/>
  <c r="F255" i="143" s="1"/>
  <c r="N217" i="142"/>
  <c r="N227" i="142" s="1"/>
  <c r="H176" i="142"/>
  <c r="O172" i="142"/>
  <c r="O176" i="142" s="1"/>
  <c r="N172" i="142"/>
  <c r="N176" i="142" s="1"/>
  <c r="AC334" i="143"/>
  <c r="AC345" i="143" s="1"/>
  <c r="AC64" i="143"/>
  <c r="AC40" i="143"/>
  <c r="AC51" i="143" s="1"/>
  <c r="AC9" i="143"/>
  <c r="AC218" i="143"/>
  <c r="AC11" i="143"/>
  <c r="AC158" i="143"/>
  <c r="AC30" i="143"/>
  <c r="AC26" i="143"/>
  <c r="AC6" i="143"/>
  <c r="AC16" i="143"/>
  <c r="AC4" i="143"/>
  <c r="AC97" i="143"/>
  <c r="AC17" i="143"/>
  <c r="AC396" i="143"/>
  <c r="AC399" i="143" s="1"/>
  <c r="K274" i="143"/>
  <c r="K281" i="143" s="1"/>
  <c r="AC288" i="143" s="1"/>
  <c r="AC294" i="143" s="1"/>
  <c r="AC60" i="143"/>
  <c r="AC61" i="143" s="1"/>
  <c r="AC71" i="143"/>
  <c r="AC13" i="143"/>
  <c r="AC68" i="143"/>
  <c r="AC12" i="143"/>
  <c r="AC3" i="143"/>
  <c r="AC65" i="143"/>
  <c r="AC79" i="143" s="1"/>
  <c r="AC15" i="143"/>
  <c r="I372" i="143"/>
  <c r="AC14" i="143"/>
  <c r="J232" i="147"/>
  <c r="K97" i="143"/>
  <c r="AC148" i="143" s="1"/>
  <c r="J227" i="147"/>
  <c r="S26" i="109" s="1"/>
  <c r="S31" i="109" s="1"/>
  <c r="S34" i="109" s="1"/>
  <c r="H227" i="147"/>
  <c r="M26" i="109" s="1"/>
  <c r="M31" i="109" s="1"/>
  <c r="M34" i="109" s="1"/>
  <c r="N89" i="142"/>
  <c r="N151" i="142" s="1"/>
  <c r="K12" i="139" s="1"/>
  <c r="O89" i="142"/>
  <c r="O151" i="142" s="1"/>
  <c r="L12" i="139" s="1"/>
  <c r="E24" i="150"/>
  <c r="E34" i="150" s="1"/>
  <c r="R10" i="145"/>
  <c r="R17" i="145" s="1"/>
  <c r="N188" i="142"/>
  <c r="N200" i="142"/>
  <c r="O188" i="142"/>
  <c r="O200" i="142"/>
  <c r="N237" i="142"/>
  <c r="N214" i="142"/>
  <c r="O237" i="142"/>
  <c r="O227" i="142"/>
  <c r="O214" i="142"/>
  <c r="K13" i="108"/>
  <c r="F50" i="108"/>
  <c r="K420" i="143"/>
  <c r="K422" i="143" s="1"/>
  <c r="AC416" i="143"/>
  <c r="AC420" i="143" s="1"/>
  <c r="K113" i="143"/>
  <c r="AC100" i="143"/>
  <c r="AC160" i="143"/>
  <c r="AC384" i="143"/>
  <c r="AC273" i="143"/>
  <c r="AC274" i="143" s="1"/>
  <c r="AC281" i="143" s="1"/>
  <c r="I35" i="143"/>
  <c r="J155" i="142"/>
  <c r="J158" i="142" s="1"/>
  <c r="J164" i="142" s="1"/>
  <c r="AC257" i="143"/>
  <c r="AC261" i="143" s="1"/>
  <c r="H22" i="142"/>
  <c r="O21" i="142"/>
  <c r="N21" i="142"/>
  <c r="E14" i="150"/>
  <c r="E39" i="150"/>
  <c r="E47" i="150" s="1"/>
  <c r="E55" i="150" s="1"/>
  <c r="M40" i="108"/>
  <c r="M41" i="108" s="1"/>
  <c r="H41" i="139"/>
  <c r="Q10" i="145"/>
  <c r="Q17" i="145" s="1"/>
  <c r="K345" i="143"/>
  <c r="H36" i="139"/>
  <c r="H31" i="139"/>
  <c r="M31" i="108" s="1"/>
  <c r="T18" i="109"/>
  <c r="K35" i="143"/>
  <c r="K51" i="143" s="1"/>
  <c r="AC112" i="143" s="1"/>
  <c r="P49" i="83"/>
  <c r="T26" i="109"/>
  <c r="V227" i="147"/>
  <c r="U21" i="109" s="1"/>
  <c r="U26" i="109" s="1"/>
  <c r="U31" i="109" s="1"/>
  <c r="U34" i="109" s="1"/>
  <c r="D50" i="108"/>
  <c r="E9" i="150"/>
  <c r="E203" i="143"/>
  <c r="E231" i="143" s="1"/>
  <c r="K12" i="108"/>
  <c r="F17" i="150"/>
  <c r="C24" i="150"/>
  <c r="C34" i="150" s="1"/>
  <c r="F47" i="150"/>
  <c r="F55" i="150" s="1"/>
  <c r="C39" i="150"/>
  <c r="C47" i="150" s="1"/>
  <c r="C55" i="150" s="1"/>
  <c r="C9" i="150"/>
  <c r="C17" i="150" s="1"/>
  <c r="I41" i="108"/>
  <c r="L16" i="141"/>
  <c r="I31" i="108"/>
  <c r="I13" i="108"/>
  <c r="C58" i="156"/>
  <c r="C59" i="156" s="1"/>
  <c r="I16" i="108"/>
  <c r="P16" i="141"/>
  <c r="K40" i="108"/>
  <c r="K41" i="108" s="1"/>
  <c r="F41" i="139"/>
  <c r="N16" i="141"/>
  <c r="D58" i="156"/>
  <c r="D59" i="156" s="1"/>
  <c r="E22" i="108"/>
  <c r="E25" i="108" s="1"/>
  <c r="E27" i="108" s="1"/>
  <c r="J42" i="108"/>
  <c r="C37" i="139"/>
  <c r="J40" i="108"/>
  <c r="J41" i="108" s="1"/>
  <c r="C41" i="139"/>
  <c r="C13" i="139"/>
  <c r="C12" i="139"/>
  <c r="G248" i="142"/>
  <c r="G274" i="142" s="1"/>
  <c r="I51" i="143"/>
  <c r="R16" i="141"/>
  <c r="M49" i="83"/>
  <c r="K29" i="108"/>
  <c r="P37" i="109"/>
  <c r="F69" i="150"/>
  <c r="K31" i="108"/>
  <c r="H50" i="108"/>
  <c r="C44" i="108"/>
  <c r="C47" i="108" s="1"/>
  <c r="C49" i="108" s="1"/>
  <c r="C50" i="108" s="1"/>
  <c r="K18" i="108"/>
  <c r="E416" i="143"/>
  <c r="E420" i="143" s="1"/>
  <c r="E422" i="143" s="1"/>
  <c r="C11" i="139"/>
  <c r="N18" i="109"/>
  <c r="I158" i="146"/>
  <c r="K294" i="143"/>
  <c r="F11" i="139"/>
  <c r="V18" i="109"/>
  <c r="E49" i="83"/>
  <c r="E248" i="142"/>
  <c r="E274" i="142" s="1"/>
  <c r="D158" i="142"/>
  <c r="D164" i="142" s="1"/>
  <c r="C11" i="157"/>
  <c r="C13" i="157" s="1"/>
  <c r="C18" i="157" s="1"/>
  <c r="C21" i="157" s="1"/>
  <c r="H49" i="83"/>
  <c r="F23" i="88"/>
  <c r="H155" i="142"/>
  <c r="O155" i="142" s="1"/>
  <c r="G50" i="108"/>
  <c r="J11" i="108"/>
  <c r="J12" i="108" s="1"/>
  <c r="G58" i="80"/>
  <c r="G62" i="80" s="1"/>
  <c r="I54" i="80" s="1"/>
  <c r="I58" i="80" s="1"/>
  <c r="I62" i="80" s="1"/>
  <c r="K54" i="80" s="1"/>
  <c r="G64" i="80"/>
  <c r="D84" i="155"/>
  <c r="B50" i="108"/>
  <c r="E294" i="143"/>
  <c r="D172" i="142" s="1"/>
  <c r="D176" i="142" s="1"/>
  <c r="D242" i="142" s="1"/>
  <c r="F13" i="154"/>
  <c r="F7" i="154"/>
  <c r="V24" i="109"/>
  <c r="E44" i="108"/>
  <c r="E47" i="108" s="1"/>
  <c r="E49" i="108" s="1"/>
  <c r="D7" i="154"/>
  <c r="D13" i="154"/>
  <c r="K15" i="154"/>
  <c r="G93" i="80"/>
  <c r="G97" i="80" s="1"/>
  <c r="I89" i="80" s="1"/>
  <c r="G99" i="80"/>
  <c r="I11" i="108"/>
  <c r="I12" i="108" s="1"/>
  <c r="G13" i="154"/>
  <c r="G7" i="154"/>
  <c r="B11" i="139"/>
  <c r="F23" i="157"/>
  <c r="F25" i="157" s="1"/>
  <c r="C34" i="139" l="1"/>
  <c r="J34" i="108" s="1"/>
  <c r="J35" i="108" s="1"/>
  <c r="H242" i="142"/>
  <c r="AC348" i="143"/>
  <c r="AC357" i="143" s="1"/>
  <c r="J217" i="142"/>
  <c r="J227" i="142" s="1"/>
  <c r="AC113" i="143"/>
  <c r="AC123" i="143" s="1"/>
  <c r="AC298" i="143"/>
  <c r="AC301" i="143" s="1"/>
  <c r="J172" i="142"/>
  <c r="J176" i="142" s="1"/>
  <c r="E35" i="143"/>
  <c r="E51" i="143" s="1"/>
  <c r="E17" i="150"/>
  <c r="E66" i="150" s="1"/>
  <c r="E70" i="150" s="1"/>
  <c r="O242" i="142"/>
  <c r="L13" i="139" s="1"/>
  <c r="N242" i="142"/>
  <c r="K13" i="139" s="1"/>
  <c r="O158" i="142"/>
  <c r="O164" i="142" s="1"/>
  <c r="L14" i="139"/>
  <c r="AC164" i="143"/>
  <c r="K16" i="139"/>
  <c r="N22" i="142"/>
  <c r="N24" i="142" s="1"/>
  <c r="L16" i="139"/>
  <c r="O22" i="142"/>
  <c r="O24" i="142" s="1"/>
  <c r="AC35" i="143"/>
  <c r="AC63" i="143" s="1"/>
  <c r="I63" i="143"/>
  <c r="I79" i="143" s="1"/>
  <c r="I123" i="143" s="1"/>
  <c r="I164" i="143" s="1"/>
  <c r="I186" i="143" s="1"/>
  <c r="H24" i="142"/>
  <c r="H158" i="142"/>
  <c r="N155" i="142"/>
  <c r="K63" i="143"/>
  <c r="K79" i="143" s="1"/>
  <c r="K123" i="143" s="1"/>
  <c r="T31" i="109"/>
  <c r="T34" i="109" s="1"/>
  <c r="K372" i="143"/>
  <c r="M36" i="108"/>
  <c r="D47" i="152"/>
  <c r="D48" i="152" s="1"/>
  <c r="F66" i="150"/>
  <c r="F70" i="150" s="1"/>
  <c r="P10" i="145"/>
  <c r="P17" i="145" s="1"/>
  <c r="C66" i="150"/>
  <c r="E372" i="143"/>
  <c r="I14" i="108"/>
  <c r="C23" i="157"/>
  <c r="C25" i="157" s="1"/>
  <c r="E27" i="139"/>
  <c r="G278" i="142"/>
  <c r="J13" i="108"/>
  <c r="H426" i="143"/>
  <c r="J14" i="108"/>
  <c r="J37" i="108"/>
  <c r="J38" i="108" s="1"/>
  <c r="E50" i="108"/>
  <c r="E87" i="155"/>
  <c r="E88" i="155" s="1"/>
  <c r="E99" i="153"/>
  <c r="E100" i="153" s="1"/>
  <c r="C38" i="139"/>
  <c r="C18" i="139"/>
  <c r="C21" i="139" s="1"/>
  <c r="C24" i="139" s="1"/>
  <c r="C26" i="139" s="1"/>
  <c r="E276" i="142" s="1"/>
  <c r="C69" i="150"/>
  <c r="N37" i="109"/>
  <c r="I64" i="80"/>
  <c r="E23" i="157"/>
  <c r="E25" i="157" s="1"/>
  <c r="F47" i="152"/>
  <c r="F48" i="152" s="1"/>
  <c r="P36" i="109"/>
  <c r="D248" i="142"/>
  <c r="D274" i="142" s="1"/>
  <c r="N26" i="109"/>
  <c r="N31" i="109" s="1"/>
  <c r="N34" i="109" s="1"/>
  <c r="F87" i="155"/>
  <c r="F88" i="155" s="1"/>
  <c r="F38" i="139"/>
  <c r="I93" i="80"/>
  <c r="I97" i="80" s="1"/>
  <c r="K89" i="80" s="1"/>
  <c r="I99" i="80"/>
  <c r="K37" i="108"/>
  <c r="K64" i="80"/>
  <c r="K58" i="80"/>
  <c r="K62" i="80" s="1"/>
  <c r="F15" i="154"/>
  <c r="F16" i="154" s="1"/>
  <c r="K36" i="108"/>
  <c r="D15" i="154"/>
  <c r="D16" i="154" s="1"/>
  <c r="I36" i="108"/>
  <c r="G15" i="154"/>
  <c r="G16" i="154" s="1"/>
  <c r="K33" i="108"/>
  <c r="B18" i="139"/>
  <c r="I15" i="108"/>
  <c r="K14" i="108"/>
  <c r="C35" i="139" l="1"/>
  <c r="E63" i="143"/>
  <c r="E79" i="143" s="1"/>
  <c r="E123" i="143" s="1"/>
  <c r="E164" i="143" s="1"/>
  <c r="E186" i="143" s="1"/>
  <c r="J242" i="142"/>
  <c r="J248" i="142" s="1"/>
  <c r="J274" i="142" s="1"/>
  <c r="I240" i="143"/>
  <c r="AC372" i="143"/>
  <c r="E240" i="143"/>
  <c r="AC172" i="143"/>
  <c r="K164" i="143"/>
  <c r="O248" i="142"/>
  <c r="O274" i="142" s="1"/>
  <c r="L18" i="139"/>
  <c r="L21" i="139" s="1"/>
  <c r="L24" i="139" s="1"/>
  <c r="L26" i="139" s="1"/>
  <c r="K14" i="139"/>
  <c r="K18" i="139" s="1"/>
  <c r="K21" i="139" s="1"/>
  <c r="K24" i="139" s="1"/>
  <c r="K26" i="139" s="1"/>
  <c r="N158" i="142"/>
  <c r="N164" i="142" s="1"/>
  <c r="N248" i="142" s="1"/>
  <c r="N274" i="142" s="1"/>
  <c r="H164" i="142"/>
  <c r="H37" i="139"/>
  <c r="H38" i="139" s="1"/>
  <c r="G87" i="155"/>
  <c r="G88" i="155" s="1"/>
  <c r="J276" i="142"/>
  <c r="I33" i="108"/>
  <c r="K99" i="153"/>
  <c r="C70" i="150"/>
  <c r="H147" i="151"/>
  <c r="H148" i="151" s="1"/>
  <c r="J19" i="108"/>
  <c r="J22" i="108" s="1"/>
  <c r="J25" i="108" s="1"/>
  <c r="J27" i="108" s="1"/>
  <c r="I19" i="108"/>
  <c r="I22" i="108" s="1"/>
  <c r="I25" i="108" s="1"/>
  <c r="I27" i="108" s="1"/>
  <c r="D87" i="155"/>
  <c r="D88" i="155" s="1"/>
  <c r="B21" i="139"/>
  <c r="I29" i="108"/>
  <c r="N36" i="109"/>
  <c r="N38" i="109" s="1"/>
  <c r="E278" i="142"/>
  <c r="F18" i="139"/>
  <c r="F21" i="139" s="1"/>
  <c r="F24" i="139" s="1"/>
  <c r="F26" i="139" s="1"/>
  <c r="C27" i="139"/>
  <c r="D147" i="151"/>
  <c r="D148" i="151" s="1"/>
  <c r="P38" i="109"/>
  <c r="K15" i="108"/>
  <c r="K19" i="108" s="1"/>
  <c r="K22" i="108" s="1"/>
  <c r="K25" i="108" s="1"/>
  <c r="K27" i="108" s="1"/>
  <c r="K30" i="108"/>
  <c r="K32" i="108" s="1"/>
  <c r="F35" i="139"/>
  <c r="F44" i="139" s="1"/>
  <c r="F47" i="139" s="1"/>
  <c r="F49" i="139" s="1"/>
  <c r="F99" i="153"/>
  <c r="F100" i="153" s="1"/>
  <c r="K38" i="108"/>
  <c r="K99" i="80"/>
  <c r="K93" i="80"/>
  <c r="K97" i="80" s="1"/>
  <c r="K34" i="108"/>
  <c r="K35" i="108" s="1"/>
  <c r="J278" i="142" l="1"/>
  <c r="AC197" i="143"/>
  <c r="AC198" i="143" s="1"/>
  <c r="K186" i="143"/>
  <c r="AC210" i="143" s="1"/>
  <c r="H33" i="139"/>
  <c r="M33" i="108" s="1"/>
  <c r="K44" i="108"/>
  <c r="K47" i="108" s="1"/>
  <c r="K49" i="108" s="1"/>
  <c r="K50" i="108" s="1"/>
  <c r="H248" i="142"/>
  <c r="F50" i="139"/>
  <c r="M37" i="108"/>
  <c r="M38" i="108" s="1"/>
  <c r="D99" i="153"/>
  <c r="D100" i="153" s="1"/>
  <c r="B35" i="139"/>
  <c r="I34" i="108"/>
  <c r="I35" i="108" s="1"/>
  <c r="I37" i="108"/>
  <c r="I38" i="108" s="1"/>
  <c r="B38" i="139"/>
  <c r="B24" i="139"/>
  <c r="H276" i="142"/>
  <c r="I30" i="108"/>
  <c r="I32" i="108" s="1"/>
  <c r="B32" i="139"/>
  <c r="I426" i="143"/>
  <c r="H274" i="142" l="1"/>
  <c r="I44" i="108"/>
  <c r="I47" i="108" s="1"/>
  <c r="I49" i="108" s="1"/>
  <c r="I50" i="108" s="1"/>
  <c r="B26" i="139"/>
  <c r="B44" i="139"/>
  <c r="H278" i="142" l="1"/>
  <c r="F27" i="139"/>
  <c r="B47" i="139"/>
  <c r="D276" i="142"/>
  <c r="D278" i="142" s="1"/>
  <c r="B27" i="139"/>
  <c r="B49" i="139" l="1"/>
  <c r="E426" i="143" l="1"/>
  <c r="B50" i="139"/>
  <c r="M9" i="151" l="1"/>
  <c r="K198" i="143" l="1"/>
  <c r="V37" i="109"/>
  <c r="V26" i="109"/>
  <c r="V31" i="109" s="1"/>
  <c r="V34" i="109" s="1"/>
  <c r="AC220" i="143" l="1"/>
  <c r="AC231" i="143" s="1"/>
  <c r="AC240" i="143" s="1"/>
  <c r="K231" i="143"/>
  <c r="K240" i="143" s="1"/>
  <c r="V36" i="109"/>
  <c r="V38" i="109" s="1"/>
  <c r="G47" i="152"/>
  <c r="G48" i="152" s="1"/>
  <c r="AC252" i="143" l="1"/>
  <c r="K255" i="143"/>
  <c r="H29" i="139"/>
  <c r="AC245" i="143"/>
  <c r="AC255" i="143" s="1"/>
  <c r="H34" i="139"/>
  <c r="G99" i="153"/>
  <c r="G100" i="153" s="1"/>
  <c r="AC265" i="143" l="1"/>
  <c r="AC269" i="143" s="1"/>
  <c r="AC271" i="143" s="1"/>
  <c r="AC382" i="143" s="1"/>
  <c r="M29" i="108"/>
  <c r="H35" i="139"/>
  <c r="M34" i="108"/>
  <c r="M35" i="108" s="1"/>
  <c r="K426" i="143"/>
  <c r="AC385" i="143" l="1"/>
  <c r="AC394" i="143" s="1"/>
  <c r="AC422" i="143" s="1"/>
  <c r="AC424" i="143" s="1"/>
  <c r="AC270" i="143" l="1"/>
  <c r="C51" i="139"/>
  <c r="F426" i="143"/>
  <c r="C53" i="139"/>
  <c r="C50" i="139"/>
  <c r="M149" i="151"/>
  <c r="M50" i="139"/>
  <c r="O428" i="143"/>
  <c r="L50" i="139"/>
  <c r="L149" i="151"/>
  <c r="N428" i="143"/>
  <c r="J50" i="139"/>
  <c r="L428" i="143"/>
  <c r="J149" i="151"/>
  <c r="O149" i="151"/>
  <c r="P50" i="139"/>
  <c r="J424" i="143"/>
  <c r="L427" i="143"/>
  <c r="L50" i="108"/>
  <c r="E54" i="139"/>
  <c r="E53" i="139"/>
  <c r="H427" i="143"/>
  <c r="M428" i="143"/>
  <c r="K149" i="151"/>
  <c r="K50" i="139"/>
  <c r="N149" i="151"/>
  <c r="E148" i="151"/>
  <c r="K427" i="143"/>
  <c r="I51" i="139"/>
  <c r="O427" i="143"/>
  <c r="R49" i="108"/>
  <c r="P50" i="108"/>
  <c r="G50" i="139"/>
  <c r="C54" i="139"/>
  <c r="F427" i="143"/>
  <c r="E147" i="151"/>
  <c r="P49" i="139"/>
  <c r="B53" i="139"/>
  <c r="N30" i="108"/>
  <c r="L47" i="139"/>
  <c r="L49" i="139"/>
  <c r="L49" i="108"/>
  <c r="R47" i="108"/>
  <c r="O49" i="139"/>
  <c r="J49" i="139"/>
  <c r="J382" i="143"/>
  <c r="D50" i="139"/>
  <c r="G426" i="143"/>
  <c r="M47" i="139"/>
  <c r="M49" i="139"/>
  <c r="N49" i="139"/>
  <c r="N50" i="139"/>
  <c r="B51" i="139"/>
  <c r="E427" i="143"/>
  <c r="B54" i="139"/>
  <c r="C49" i="139"/>
  <c r="I427" i="143"/>
  <c r="I424" i="143"/>
  <c r="F51" i="139"/>
  <c r="F148" i="151"/>
  <c r="H49" i="139"/>
  <c r="H50" i="139"/>
  <c r="M49" i="108"/>
  <c r="M50" i="108"/>
  <c r="D47" i="139"/>
  <c r="D49" i="139"/>
  <c r="O382" i="143"/>
  <c r="O424" i="143"/>
  <c r="I261" i="143"/>
  <c r="I271" i="143"/>
  <c r="I382" i="143"/>
  <c r="Q50" i="108"/>
  <c r="P49" i="108"/>
  <c r="F147" i="151"/>
  <c r="M382" i="143"/>
  <c r="M424" i="143"/>
  <c r="M427" i="143"/>
  <c r="N427" i="143"/>
  <c r="G382" i="143"/>
  <c r="G424" i="143"/>
  <c r="G427" i="143"/>
  <c r="I30" i="139"/>
  <c r="I147" i="151"/>
  <c r="I148" i="151"/>
  <c r="H261" i="143"/>
  <c r="H271" i="143"/>
  <c r="H382" i="143"/>
  <c r="H424" i="143"/>
  <c r="K44" i="139"/>
  <c r="K47" i="139"/>
  <c r="K49" i="139"/>
  <c r="J44" i="108"/>
  <c r="J47" i="108"/>
  <c r="J49" i="108"/>
  <c r="J50" i="108"/>
  <c r="R382" i="143"/>
  <c r="R424" i="143"/>
  <c r="K382" i="143"/>
  <c r="K424" i="143"/>
  <c r="N382" i="143"/>
  <c r="N424" i="143"/>
  <c r="Q30" i="108"/>
  <c r="Q32" i="108"/>
  <c r="Q44" i="108"/>
  <c r="Q47" i="108"/>
  <c r="Q49" i="108"/>
  <c r="R30" i="108"/>
  <c r="R32" i="108"/>
  <c r="R44" i="108"/>
  <c r="P30" i="108"/>
  <c r="P32" i="108"/>
  <c r="P44" i="108"/>
  <c r="P47" i="108"/>
  <c r="P382" i="143"/>
  <c r="P424" i="143"/>
  <c r="Q382" i="143"/>
  <c r="Q424" i="143"/>
  <c r="O47" i="139"/>
  <c r="F382" i="143"/>
  <c r="F424" i="143"/>
  <c r="M261" i="143"/>
  <c r="M271" i="143"/>
  <c r="J30" i="139"/>
  <c r="J32" i="139"/>
  <c r="J44" i="139"/>
  <c r="J47" i="139"/>
  <c r="C32" i="139"/>
  <c r="C44" i="139"/>
  <c r="C47" i="139"/>
  <c r="N261" i="143"/>
  <c r="N271" i="143"/>
  <c r="K30" i="139"/>
  <c r="K32" i="139"/>
  <c r="S382" i="143"/>
  <c r="S424" i="143"/>
  <c r="M32" i="139"/>
  <c r="M44" i="139"/>
  <c r="E261" i="143"/>
  <c r="E271" i="143"/>
  <c r="E382" i="143"/>
  <c r="E424" i="143"/>
  <c r="R261" i="143"/>
  <c r="R271" i="143"/>
  <c r="O30" i="139"/>
  <c r="O32" i="139"/>
  <c r="O44" i="139"/>
  <c r="F261" i="143"/>
  <c r="F271" i="143"/>
  <c r="C30" i="139"/>
  <c r="J30" i="108"/>
  <c r="J32" i="108"/>
  <c r="P261" i="143"/>
  <c r="P271" i="143"/>
  <c r="M30" i="139"/>
  <c r="O30" i="108"/>
  <c r="O32" i="108"/>
  <c r="O44" i="108"/>
  <c r="O47" i="108"/>
  <c r="O49" i="108"/>
  <c r="O50" i="108"/>
  <c r="L261" i="143"/>
  <c r="L271" i="143"/>
  <c r="L382" i="143"/>
  <c r="L424" i="143"/>
  <c r="Q261" i="143"/>
  <c r="Q271" i="143"/>
  <c r="N30" i="139"/>
  <c r="N32" i="139"/>
  <c r="N44" i="139"/>
  <c r="N47" i="139"/>
  <c r="L30" i="108"/>
  <c r="L32" i="108"/>
  <c r="L44" i="108"/>
  <c r="L47" i="108"/>
  <c r="H32" i="139"/>
  <c r="H44" i="139"/>
  <c r="H47" i="139"/>
  <c r="J261" i="143"/>
  <c r="J271" i="143"/>
  <c r="G30" i="139"/>
  <c r="G32" i="139"/>
  <c r="G44" i="139"/>
  <c r="G47" i="139"/>
  <c r="G49" i="139"/>
  <c r="O261" i="143"/>
  <c r="O271" i="143"/>
  <c r="L30" i="139"/>
  <c r="L32" i="139"/>
  <c r="L44" i="139"/>
  <c r="K261" i="143"/>
  <c r="K271" i="143"/>
  <c r="H30" i="139"/>
  <c r="M30" i="108"/>
  <c r="M32" i="108"/>
  <c r="M44" i="108"/>
  <c r="M47" i="108"/>
  <c r="G261" i="143"/>
  <c r="G271" i="143"/>
  <c r="D30" i="139"/>
  <c r="D32" i="139"/>
  <c r="D44" i="139"/>
  <c r="S261" i="143"/>
  <c r="S271" i="143"/>
  <c r="P30" i="139"/>
  <c r="P32" i="139"/>
  <c r="P44" i="139"/>
  <c r="P47" i="139"/>
</calcChain>
</file>

<file path=xl/comments1.xml><?xml version="1.0" encoding="utf-8"?>
<comments xmlns="http://schemas.openxmlformats.org/spreadsheetml/2006/main">
  <authors>
    <author>User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לפי מאזן גבייה ראה נייר עבודה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Userלפי מאזן גבייה 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לפי מאזן גביה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לפי מאזן גביה </t>
        </r>
      </text>
    </comment>
  </commentList>
</comments>
</file>

<file path=xl/sharedStrings.xml><?xml version="1.0" encoding="utf-8"?>
<sst xmlns="http://schemas.openxmlformats.org/spreadsheetml/2006/main" count="11510" uniqueCount="3334">
  <si>
    <t>מועצה מקומית עוספיה</t>
  </si>
  <si>
    <t xml:space="preserve">   </t>
  </si>
  <si>
    <t>תוכן עניינים</t>
  </si>
  <si>
    <r>
      <t xml:space="preserve">       </t>
    </r>
    <r>
      <rPr>
        <b/>
        <u/>
        <sz val="14"/>
        <rFont val="David"/>
        <family val="2"/>
        <charset val="177"/>
      </rPr>
      <t>עמוד</t>
    </r>
  </si>
  <si>
    <t>1.</t>
  </si>
  <si>
    <t>2.</t>
  </si>
  <si>
    <t>טבלה 2: הרכב הכנסות עצמיות והוצאות מקבילות בתקציב הרגיל של הרשות המקומית (אלפי ₪)</t>
  </si>
  <si>
    <t>3.</t>
  </si>
  <si>
    <t>4.</t>
  </si>
  <si>
    <t>טבלה4 : שכר ומשרות לפי פרקי תקציב (אלפי ₪)</t>
  </si>
  <si>
    <t>5.</t>
  </si>
  <si>
    <t>טבלה 5 : רכישת שרותי כח אדם (אלפי ₪)</t>
  </si>
  <si>
    <t>6.</t>
  </si>
  <si>
    <t>נספחים</t>
  </si>
  <si>
    <t>8-17</t>
  </si>
  <si>
    <t>7.</t>
  </si>
  <si>
    <t>מועצה  מקומית  עוספיה</t>
  </si>
  <si>
    <t>הסעיף התקציבי</t>
  </si>
  <si>
    <t>ביצוע 1-6/2016</t>
  </si>
  <si>
    <t>הצעת תקציב 2018</t>
  </si>
  <si>
    <t>הכנסות</t>
  </si>
  <si>
    <t>ארנונה כללית</t>
  </si>
  <si>
    <t>מפעל המים</t>
  </si>
  <si>
    <t>עצמיות חינוך</t>
  </si>
  <si>
    <t>עצמיות אחר</t>
  </si>
  <si>
    <t>סה"כ עצמיות</t>
  </si>
  <si>
    <t>תקבולים ממשרד החינוך</t>
  </si>
  <si>
    <t>תקבולים ממשרד הרווחה</t>
  </si>
  <si>
    <t>תקבולים ממשלתיים אחרים</t>
  </si>
  <si>
    <t>מענק כללי לאיזון</t>
  </si>
  <si>
    <t>מענקים אחרים ממשרד הפנים</t>
  </si>
  <si>
    <t>מענק מיוחד ממשרד פנים (פרישה ופיטורים)</t>
  </si>
  <si>
    <t>סה"כ תקבולי ממשלה</t>
  </si>
  <si>
    <t>תקבולים אחרים</t>
  </si>
  <si>
    <t>הכנסות ח"פ ובגין שנים קודמות</t>
  </si>
  <si>
    <t>סה"כ הכנסות לפני הנחות בארנונה וכיסוי גירעון נצבר</t>
  </si>
  <si>
    <t>הנחות בארנונה</t>
  </si>
  <si>
    <t>הכנסה לכיסוי גירעון נצבר</t>
  </si>
  <si>
    <t>סה"כ הכנסות ללא מותנה</t>
  </si>
  <si>
    <t>הכנסה מותנה</t>
  </si>
  <si>
    <t>סה"כ הכנסות כולל מותנה</t>
  </si>
  <si>
    <t>הוצאות</t>
  </si>
  <si>
    <t>שכר כללי</t>
  </si>
  <si>
    <t>פעולות כלליות</t>
  </si>
  <si>
    <t>סה"כ כלליות</t>
  </si>
  <si>
    <t>שכר עובדי חינוך</t>
  </si>
  <si>
    <t>פעולות חינוך</t>
  </si>
  <si>
    <t>סה"כ חינוך</t>
  </si>
  <si>
    <t>שכר עובדי רווחה</t>
  </si>
  <si>
    <t>פעולות רווחה</t>
  </si>
  <si>
    <t>סה"כ רווחה</t>
  </si>
  <si>
    <t>פרעון מלוות מים וביוב</t>
  </si>
  <si>
    <t>פרעון מלוות אחרות</t>
  </si>
  <si>
    <t>סה"כ פרעון מלוות</t>
  </si>
  <si>
    <t>הוצאות מימון</t>
  </si>
  <si>
    <t>הוצאות ח"פ ובגין שנים קודמות</t>
  </si>
  <si>
    <t>סה"כ הוצאות לפני הנחות בארנונה וכיסוי גירעון נצבר</t>
  </si>
  <si>
    <t xml:space="preserve">הנחות בארנונה </t>
  </si>
  <si>
    <t>הוצאה לכיסוי גירעון נצבר</t>
  </si>
  <si>
    <t>סה"כ הוצאות ללא מותנה</t>
  </si>
  <si>
    <t>הוצאה מותנה</t>
  </si>
  <si>
    <t>סה"כ הוצאות כולל מותנה</t>
  </si>
  <si>
    <t>עודף (גרעון)</t>
  </si>
  <si>
    <t>מועצה מקומית עוספייה</t>
  </si>
  <si>
    <t>נספח  א'  -  טבלה  2  :  הרכב הכנסות והוצאות מקבילות בתקציב הרגיל</t>
  </si>
  <si>
    <t>ביצוע</t>
  </si>
  <si>
    <t>תקציב</t>
  </si>
  <si>
    <t>תחזית ביצוע</t>
  </si>
  <si>
    <t>שנת</t>
  </si>
  <si>
    <t>ה ע ר ו ת</t>
  </si>
  <si>
    <t>צד  ההוצאות</t>
  </si>
  <si>
    <t>פרעון מלוות מים</t>
  </si>
  <si>
    <t>פרעון מלוות ביוב</t>
  </si>
  <si>
    <t>פרעון מלוות כבישים</t>
  </si>
  <si>
    <t>פרעון מלוות תיעול</t>
  </si>
  <si>
    <t>פרעון מלוות לפיתוח אחר</t>
  </si>
  <si>
    <t>סה"כ פרעון מלוות לפיתוח</t>
  </si>
  <si>
    <t>פרעון מלוות שלא לפיתוח</t>
  </si>
  <si>
    <t>כולל מלוות חדשות</t>
  </si>
  <si>
    <t xml:space="preserve">סה"כ פרעון מלוות </t>
  </si>
  <si>
    <t>מחלקת הנדסה ( פרק 73 )</t>
  </si>
  <si>
    <t>סה"כ הוצאות מים ( פרק 91 )</t>
  </si>
  <si>
    <t>כולל רכישת מים</t>
  </si>
  <si>
    <t>סה"כ הוצאות ביוב ( פרק 97 )</t>
  </si>
  <si>
    <t>צד  ההכנסות</t>
  </si>
  <si>
    <t>אגרות בנייה</t>
  </si>
  <si>
    <t>העברה מקרן היטלי השבחה</t>
  </si>
  <si>
    <t>העברה מקרן היטלי מים</t>
  </si>
  <si>
    <t>העברה מקרן היטלי ביוב</t>
  </si>
  <si>
    <t>העברה מקרן היטלי כבישים</t>
  </si>
  <si>
    <t>העברה מקרן היטלי תיעול</t>
  </si>
  <si>
    <t>מכירת נכסים</t>
  </si>
  <si>
    <t>אגרות ביוב</t>
  </si>
  <si>
    <t>אגרות מים</t>
  </si>
  <si>
    <t>כולל מכירת מים</t>
  </si>
  <si>
    <t>תקציב 2007 עפ"י תוכנית ההבראה</t>
  </si>
  <si>
    <t>שינויים כולל התייעלות</t>
  </si>
  <si>
    <t xml:space="preserve">תקציב 2015 </t>
  </si>
  <si>
    <t>שינויים מתקציב 2015 עפ"י תוכנית ההבראה</t>
  </si>
  <si>
    <t>הסברים לשינויים</t>
  </si>
  <si>
    <t xml:space="preserve">מסגרת תקציב לשנת 2015 </t>
  </si>
  <si>
    <t>ביצוע 2015</t>
  </si>
  <si>
    <t xml:space="preserve">מסגרת תקציב לשנת 2016 </t>
  </si>
  <si>
    <t xml:space="preserve">מסגרת תקציב לשנת 2017 </t>
  </si>
  <si>
    <t>עצמיות רווחה</t>
  </si>
  <si>
    <t>נספח א'  -  טבלה 4  :  שכר ומשרות לפי פרקי תקציב</t>
  </si>
  <si>
    <t>מס'</t>
  </si>
  <si>
    <t>שם הפרק</t>
  </si>
  <si>
    <t>תקציב  2014</t>
  </si>
  <si>
    <t>ביצוע 09/2006</t>
  </si>
  <si>
    <t>ביצוע    12/2014</t>
  </si>
  <si>
    <t>תקציב 2016</t>
  </si>
  <si>
    <t>תקציב 2017</t>
  </si>
  <si>
    <t>תקציב 2018</t>
  </si>
  <si>
    <t>הערות</t>
  </si>
  <si>
    <t>מספר משרות</t>
  </si>
  <si>
    <t>עלויות שכר</t>
  </si>
  <si>
    <t xml:space="preserve">סה"כ משרות </t>
  </si>
  <si>
    <t>סה"כ עלות</t>
  </si>
  <si>
    <t>הנהלה וכלליות</t>
  </si>
  <si>
    <t>נבחרים</t>
  </si>
  <si>
    <t>מנהל כללי</t>
  </si>
  <si>
    <t>מנהל כספי</t>
  </si>
  <si>
    <t>שירותים מקומיים</t>
  </si>
  <si>
    <t>תברואה</t>
  </si>
  <si>
    <t>שמירה ובטחון</t>
  </si>
  <si>
    <t>תכנון ובנין עיר</t>
  </si>
  <si>
    <t>נכסים ציבוריים</t>
  </si>
  <si>
    <t>סה"כ שרותים מקומיים והנהלה</t>
  </si>
  <si>
    <t>שרותים ממלכתיים</t>
  </si>
  <si>
    <t>מינהל חינוך</t>
  </si>
  <si>
    <t>חינוך</t>
  </si>
  <si>
    <t>תרבות</t>
  </si>
  <si>
    <t>בריאות</t>
  </si>
  <si>
    <t>רווחה</t>
  </si>
  <si>
    <t>דת</t>
  </si>
  <si>
    <t>סה"כ שרותים ממלכתיים</t>
  </si>
  <si>
    <t>מפעלים</t>
  </si>
  <si>
    <t>מים</t>
  </si>
  <si>
    <t>אחר</t>
  </si>
  <si>
    <t>סה"כ מפעלים</t>
  </si>
  <si>
    <t>סה"כ כללי</t>
  </si>
  <si>
    <t>גימלאים</t>
  </si>
  <si>
    <t>סה"כ</t>
  </si>
  <si>
    <t>נספח א'  -  טבלה 5  :  רכישת שרותי כח אדם</t>
  </si>
  <si>
    <t>מספר מועסקים</t>
  </si>
  <si>
    <t>עלות כוללת</t>
  </si>
  <si>
    <t>שעות העסקה</t>
  </si>
  <si>
    <t>*****************************</t>
  </si>
  <si>
    <t>נ  ס  פ  ח  י  ם</t>
  </si>
  <si>
    <t>אנו החתומים מטה מצהירים בזאת כי  :</t>
  </si>
  <si>
    <t>על פי כל דין. מצ"ב פרוטוקול הישיבה מס'  ___________  .</t>
  </si>
  <si>
    <t>ראש  הרשות</t>
  </si>
  <si>
    <t xml:space="preserve">גזבר  הרשות </t>
  </si>
  <si>
    <t>היועץ המשפטי של הרשות</t>
  </si>
  <si>
    <t>ביחס לסעיפים 1 ו- 2 בלבד</t>
  </si>
  <si>
    <t>חותמת הרשות</t>
  </si>
  <si>
    <t>תאריך</t>
  </si>
  <si>
    <t xml:space="preserve">הכנסה זו לא יועדה כמקור הכנסה למימון תב"רים שאושרו עי ידי הרשות והיא אינה מיועדת לשמש כמקור הכנסה </t>
  </si>
  <si>
    <t>עבור תב"רים שהרשות מתעתדת לאשר .</t>
  </si>
  <si>
    <t>פרוייקטים או פעולות חד פעמיות</t>
  </si>
  <si>
    <t>מועד התחלת הביצוע</t>
  </si>
  <si>
    <t>משך ביצוע משוער</t>
  </si>
  <si>
    <t>עלות מוערכת של</t>
  </si>
  <si>
    <t xml:space="preserve">מקורות מימון מובטחים או </t>
  </si>
  <si>
    <t>השפעת הפרוייקט על הוצאות שוטפות ועל מצבת כח</t>
  </si>
  <si>
    <t>לביצוע לפי סדר עדיפות</t>
  </si>
  <si>
    <t>בפועל או מתוכנן</t>
  </si>
  <si>
    <t>בחודשים</t>
  </si>
  <si>
    <t>הפרוייקט עד סיומו</t>
  </si>
  <si>
    <t>אפשריים לביצוע הפרוייקט</t>
  </si>
  <si>
    <t xml:space="preserve"> אדם אחר סיומו ומקורומ מימון לפרעון מלוות</t>
  </si>
  <si>
    <t>נספח  ג'  -  תוכנית  גיוס  אשראי</t>
  </si>
  <si>
    <t xml:space="preserve">באלפי ₪ </t>
  </si>
  <si>
    <t>שנה</t>
  </si>
  <si>
    <t>סכום  ההלוואה</t>
  </si>
  <si>
    <t>מטרת  ההלוואה</t>
  </si>
  <si>
    <t>משך  ההלוואה</t>
  </si>
  <si>
    <t>רי ב י ת</t>
  </si>
  <si>
    <t>החזר  שנתי</t>
  </si>
  <si>
    <t>גזבר  הרשות</t>
  </si>
  <si>
    <t>חותמת  הרשות</t>
  </si>
  <si>
    <t>ת א ר י ך</t>
  </si>
  <si>
    <t>המוטב בגינו ניתנה הערבות</t>
  </si>
  <si>
    <t>נושא  הערבות</t>
  </si>
  <si>
    <t>סכום הערבות</t>
  </si>
  <si>
    <t>תאריך תחילת הערבות</t>
  </si>
  <si>
    <t>תאריך סיום הערבות</t>
  </si>
  <si>
    <t>אין</t>
  </si>
  <si>
    <t>נספח ה' - תאגידים עירוניים</t>
  </si>
  <si>
    <t>שם החברה</t>
  </si>
  <si>
    <t>צורת התאגדות (*)</t>
  </si>
  <si>
    <t>שנת הקמה</t>
  </si>
  <si>
    <t>מטרות התאגיד</t>
  </si>
  <si>
    <t>סטטוס פעיל / רדום</t>
  </si>
  <si>
    <t>סה"כ הון רשום</t>
  </si>
  <si>
    <t>מבנה השליטה (**)</t>
  </si>
  <si>
    <t>היקף תקציב שנתי</t>
  </si>
  <si>
    <t xml:space="preserve">השתתפות העירייה בתקציב התאגיד </t>
  </si>
  <si>
    <t>עודף / גירעון שוטף</t>
  </si>
  <si>
    <t>עודף / גירעון מצטבר</t>
  </si>
  <si>
    <t>אשראי (***)</t>
  </si>
  <si>
    <t>מספר עובדים</t>
  </si>
  <si>
    <t>קניית שירותים מהתאגיד ע"י הרשות</t>
  </si>
  <si>
    <t>נספח  ו'  -  מדיניות  ארנונה  -  סקר  נכסים</t>
  </si>
  <si>
    <t xml:space="preserve">תאריך ביצוע סקר נכסים אחרון </t>
  </si>
  <si>
    <t>בקשה  להיתירים</t>
  </si>
  <si>
    <t>מינימום</t>
  </si>
  <si>
    <t>מקסימום</t>
  </si>
  <si>
    <t>משוקלל</t>
  </si>
  <si>
    <t>למגורים</t>
  </si>
  <si>
    <t>לא למגורים</t>
  </si>
  <si>
    <t>נספח ז' (1): תיאגוד מים - המינהל למשק המים ברשומ"ק</t>
  </si>
  <si>
    <t xml:space="preserve">תאריך </t>
  </si>
  <si>
    <t>תחילת תהליך התאגדות</t>
  </si>
  <si>
    <t>אישור אבני דרך בהתאם להחלטת הממשלה</t>
  </si>
  <si>
    <t>הפעלת התאגיד</t>
  </si>
  <si>
    <t>שם הרשות:  מועצה מקומית עוספיה</t>
  </si>
  <si>
    <t>נספח  10  -  מפעל  ביוב</t>
  </si>
  <si>
    <t>ביצוע 2004</t>
  </si>
  <si>
    <t>תחזית ביצוע 2005</t>
  </si>
  <si>
    <t>תקציב עוספיה 2010</t>
  </si>
  <si>
    <t>ביצוע   עוספיה 2010</t>
  </si>
  <si>
    <t>תקציב עוספיה 2011</t>
  </si>
  <si>
    <t>תקציב עוספיה 2012</t>
  </si>
  <si>
    <t>תקציב עוספיה 2013</t>
  </si>
  <si>
    <t>ביצוע עוספיה 2013</t>
  </si>
  <si>
    <t>ביצוע  2014</t>
  </si>
  <si>
    <t>תקציב  2018</t>
  </si>
  <si>
    <t>סה"כ הוצאות שוטפות לתפעול ואחזקת מערכת הביוב</t>
  </si>
  <si>
    <t>פרעון הלוואות ביוב</t>
  </si>
  <si>
    <t>סה"כ הוצאות</t>
  </si>
  <si>
    <t>אגרת ביוב</t>
  </si>
  <si>
    <t>העברה מקרנות הביוב לתקציב הרגיל</t>
  </si>
  <si>
    <t>סה"כ הכנסות</t>
  </si>
  <si>
    <t>עודף / גרעון שוטף</t>
  </si>
  <si>
    <t>ראש הרשות</t>
  </si>
  <si>
    <t>מ  ב  ו  א</t>
  </si>
  <si>
    <t>*</t>
  </si>
  <si>
    <t>מועצה מקומית עוספיה מונה כ- 11,000 תושבים , הוקמה מחדש בחודש ספטמבר 2010 , ( בעקבות החוק לביטול איחוד המועצות המקומיות - 2008  ) .</t>
  </si>
  <si>
    <t xml:space="preserve">על פי דווח מפרק העירייה רו"ח אלי ברבי שמונה על ידי משרד הפנים , הגרעון המצטבר של המועצה ל 31/12/08 עומד ע"ס כ- 30 מליון ₪  וסך של כ- 25 מליון ₪ הלוואות  לזמן ארוך. </t>
  </si>
  <si>
    <t>המועצה בהמשך דרכה תזדקק להקצאת מענקי כיסוי גרעון ממשרד הפנים , לסגירת גירעונות אלו , בנוסך לכספי מענקי האיזון המאושרים לה כמועצה באשכול 4 .</t>
  </si>
  <si>
    <t>הרשות מדגישה כי מענק האיזון שמאושר כיום ע"י משרד הפנים שהינו   10,373  אלש"ח, נמוך מאוד ביחס למענק המועצה לפני האיחוד (שנת 2002 ) ע"ס  12,767 אלש"ח.</t>
  </si>
  <si>
    <t xml:space="preserve">במציאות הקיימת , נוצר מצב כי הגרעון המצטבר לאורך השנים הינו תוצאה של קיצוץ במענקי האיזון ולא בהגדלת ההוצאות הקשיחות של המועצה . </t>
  </si>
  <si>
    <t>המועצה מגישה בזאת את המסגרת התקציבית לשנים 2012-2013 , שבסוף התקופה יושג איזון תקציבי .</t>
  </si>
  <si>
    <t>תקציב המועצה לא כולל הוצאות של ר-ארגון לאחר הפירוק , כגון פיתוח ארגוני ,ר-ארגון פיזי למבנה המועצה ומוסדותיה ,  שיפור תשתיות פיזיות , סוגיות אלו אמרות לקבל מענה במסגרת מענק הפרוק שאושר עקרונית במסגרת חוק הפירוק .</t>
  </si>
  <si>
    <t>תקציב הרשות לשנת 2012  מסתכם ב-  54,398 אלש"ח להוצאות ו- 50,977 אלש"ח להכנסות, קרי גרעון צפוי של 3,421 אלש"ח .</t>
  </si>
  <si>
    <t>התקציב לשנת 2012 מתבסס על ביצוע בפועל של תקציב המועצה שנת 2011 , ובעדכונים המתבקשים בהתחשב בנתוני משרדי הממשלה השונים לרבות משרד החינוך, הרווחה, התרבות ומשרדי ממשלה אחרים .</t>
  </si>
  <si>
    <t>התקציב יוצג למליאת הרשות לדיון , ולאחר מכן,  יוגש לאישור משרד הפנים.</t>
  </si>
  <si>
    <t>אם תידרש הרשות לבצע שינויים עפ"י דרישת משרד הפנים, יוצגו השינויים למליאת הרשות לאישור השינויים.</t>
  </si>
  <si>
    <t>תקן כוח אדם מתוקצב  בהתאם לצו הפירוק של משרד הפנים , בתוספת תקצוב לנבחר ציבור אחד ( ראש המועצה ) ותפקידים סטטטורים שלא קיימים כיום, ותפקידים נוספים שלא אוישו עד היום .</t>
  </si>
  <si>
    <t xml:space="preserve"> </t>
  </si>
  <si>
    <t>ארנונה  כללית</t>
  </si>
  <si>
    <t>גבייה  שוטפת</t>
  </si>
  <si>
    <t>פרטים</t>
  </si>
  <si>
    <t>חיוב שוטף</t>
  </si>
  <si>
    <t>הנחות</t>
  </si>
  <si>
    <t>חיוב נוסף</t>
  </si>
  <si>
    <t>סה"כ לגבייה</t>
  </si>
  <si>
    <t>גבייה שוטף</t>
  </si>
  <si>
    <t>שעור הגבייה</t>
  </si>
  <si>
    <t>עובר לפיגורים</t>
  </si>
  <si>
    <t>פ י ג ו ר י ם</t>
  </si>
  <si>
    <t>יתרה  תחילת שנה</t>
  </si>
  <si>
    <t>גבייה</t>
  </si>
  <si>
    <t>יתרת השנה</t>
  </si>
  <si>
    <t>פיגורים מהשוטף</t>
  </si>
  <si>
    <t>סה"כ עובר</t>
  </si>
  <si>
    <t>שעור גבייה למותנה</t>
  </si>
  <si>
    <t>הרשות מתמודדת עם פחת מים הקרוב ל- % 26 , המורכב מתשתית ישנה, חיבורים לא חוקיים, גניבות מים ופחת מינהלי .</t>
  </si>
  <si>
    <t>מדובר בפרוייקטים חינוכיים כמפורט להלן (באלפי ₪ )  :</t>
  </si>
  <si>
    <t>הזנת תלמידים</t>
  </si>
  <si>
    <t>גנים טרום חובה</t>
  </si>
  <si>
    <t>השתתפות תושבים בעלויות השייכות למחלקת הרווחה .</t>
  </si>
  <si>
    <t>עצמיות  אחר</t>
  </si>
  <si>
    <t>מדובר בהכנסות המועצה מהפעלת חוקי העזר שלה והכנסות נוספות, כמפורט להלן (באלפי ₪ ) :</t>
  </si>
  <si>
    <t>היטל ביוב</t>
  </si>
  <si>
    <t>אגרת צנרת</t>
  </si>
  <si>
    <t>תרבות וספורט</t>
  </si>
  <si>
    <t>ההכנסות מבוססות על ההכנסה שנתקבלה בפועל ממשרד החינוך בשנת 2011 ובהתאמות הדרושות .</t>
  </si>
  <si>
    <t>ההכנסות מבוססות על ההכנסה שנתקבלה בפועל ממשרד הרווחה בשנת 2011 ובהתאמות הדרושות .</t>
  </si>
  <si>
    <t>הכנסות צפויות ממשרד התחבורה, מפעל הפיס, משרד התרבות המדע והספורט ומהמשרד לאיכות הסביבה .</t>
  </si>
  <si>
    <t>מענק  כללי  לאיזון</t>
  </si>
  <si>
    <t>המענק הכללי הוערך באותו סכום בשנת 2011 נכון להיום שהינו    9,854  אלש"ח - קיצוץ % 5 משנת 2011</t>
  </si>
  <si>
    <t>המענק המותנה בגבייה מהווה % 15 מהמענק השוטף הכללי שהינו  1,478 אלש"ח .</t>
  </si>
  <si>
    <t>יתרת מענק האיזון שאינה תלוייה בגבייה ועמידה בייעדי הגבייה הינה  8,376  אלש"ח .</t>
  </si>
  <si>
    <t>ההנחות מאושרות ע"י ועדת ההנחות של הרשות בגין תושבי עוספיה .</t>
  </si>
  <si>
    <t xml:space="preserve">ההנחות שאושרו בשנת 2011 הינן 3,128 אלש"ח .  </t>
  </si>
  <si>
    <t>האומדן להנחות של מועצה מקומית  עוספיה לשנת  2012 הינה  4,000 אלש"ח .</t>
  </si>
  <si>
    <t>הכנסות מותנות</t>
  </si>
  <si>
    <t>מדובר בהכנסות שמימושן וקבלתן תלויים בביצועי הרשות בנושא גביית הארנונה ועמידה בייעדים שנקבעו :</t>
  </si>
  <si>
    <t>מענק איזון ( %15)</t>
  </si>
  <si>
    <t xml:space="preserve">שכר כללי </t>
  </si>
  <si>
    <t>נתוני ביצוע השכר הכולל ( מוניציפאלי, חינוך, רווחה ויעודיים ) החזוי לשנת 2012  בסך 15,960 אלש"ח ( לא כולל פיצויים והוצאות נוספות, הלנה, פסקי דין של בתי דין לעבודה ) , עם תוספת תקנים חדשים לתפקידים הסטטטורים, נבחרים ואחרים .</t>
  </si>
  <si>
    <t>תקציב השכר הינו לפי תקן המוצע למשרד הפנים, ובהתאם לתקנים המתוקצבים ע"י משרדי הממשלה השונים .</t>
  </si>
  <si>
    <t>השכר מורכב מ-  111.82 תקנים ומשרות רובן מאושרות ומאוישות מלבד עובדים סטטטורים לפי הפירוט הבא, 65.23 תקנים מוניציפאליים , 33.11 תקנים בחינוך כולל מנהלה , 13.48 תקנים ברווחה ו- 53 גמלאים שמהווים כ- 23.27 תקנים  .</t>
  </si>
  <si>
    <t>שיעור השכר הכולל מסה"כ תקציב ההכנסות  לשנת 2012  הינו  % 31  .</t>
  </si>
  <si>
    <t>שיעור השכר הכולל מסה"כ תקציב ההכנסות לשנת 2012  בניכוי עלויות הפנסיונרים הינו % 25 .</t>
  </si>
  <si>
    <t>יודגש כי עלות הפנסיונרים לשנת תקציב הינה 3,120 אלף ₪ שחלקם הגדול  הופרש לפנסיה במסגרת איחוד הרשויות , וכיום בעקבות הפירוק נוצר כפילות בעלויות השכר , סוגיה זו חייבת לקבל מענה במסגרת הסיכומים עם המשרד .</t>
  </si>
  <si>
    <t>להלן הרכב תקציב השכר הכולל לשנת  2012  :</t>
  </si>
  <si>
    <t>ס ע י ף      ש כ ר</t>
  </si>
  <si>
    <t>באלפי ₪</t>
  </si>
  <si>
    <t>%</t>
  </si>
  <si>
    <t>שכר מוניציפאלי</t>
  </si>
  <si>
    <t>שכר חינוך</t>
  </si>
  <si>
    <t>שכר רווחה</t>
  </si>
  <si>
    <t xml:space="preserve"> פעולות כלליות</t>
  </si>
  <si>
    <t xml:space="preserve">הפעולות הכלליות נרשמו לפי הביצוע בפועל על בסיס ההוצאה בשנות  2011 ובכפוף לסדר העדיפות  של המועצה . </t>
  </si>
  <si>
    <t xml:space="preserve">המועצה מודעת למצוקתה הכספית , לכן רב ההוצאות הינן קשיחות שמבוססות על התקשרויות בהתאם למכרזים ,שאמורות ללתת מענה לשירות ברמה סבירה לתושב . </t>
  </si>
  <si>
    <t xml:space="preserve"> מפעל המים</t>
  </si>
  <si>
    <t>תקציב הרשות התבסס על ביצוע בפועל לשנת 2011 , הרשות חרגה ברכישת המים בסכום גבוהה יחסית עקב ביטול והקצאה נמוכה של מכסות ע"י חברת מקורות באופן חד צידי, הנושא מטופל ע"י גורמי המקצוע במועצה .</t>
  </si>
  <si>
    <t>הוצאות האחזקה יגדלו במעט עקב תוכנית המועצה לפיקוח, איתור גניבות ותיקוני פיצוצים והחלפת מדי מים הצפויים במערכת המים הישנה  .</t>
  </si>
  <si>
    <t xml:space="preserve"> שכר עובדי חינוך</t>
  </si>
  <si>
    <t>שכר עובדי מחלקת חינוך מורכב מ-  33.11  תקנים ומשרות שמאוישות ע"י המנהל, מזכירות, גננות, עוזרות גננות, עובדי ניקיון, סייעות מלוות ועובדים כיתתיים .</t>
  </si>
  <si>
    <t>תקציב השכר תוקצב לפי ביצוע  בשנת 2011  בהתחשב בהמשך ביצוע תוכנית ההבראה של הרשות ובתיאום עם משרד החינוך לתקנים המתוקצבים .</t>
  </si>
  <si>
    <t xml:space="preserve"> פעולות חינוך</t>
  </si>
  <si>
    <t xml:space="preserve">הפעולות נרשמו עפ"י הביצוע בפועל של שנת 2011  בהתחשב בהמשך ביצוע תוכנית ההבראה  . </t>
  </si>
  <si>
    <t>להלן פירוט ההוצאות העיקריות בפעולות חינוך  :</t>
  </si>
  <si>
    <r>
      <t xml:space="preserve"> </t>
    </r>
    <r>
      <rPr>
        <sz val="13"/>
        <rFont val="David"/>
        <family val="2"/>
        <charset val="177"/>
      </rPr>
      <t>שכירות גני ילדים חובה וכיתות לימוד .</t>
    </r>
  </si>
  <si>
    <r>
      <t xml:space="preserve"> </t>
    </r>
    <r>
      <rPr>
        <sz val="13"/>
        <rFont val="David"/>
        <family val="2"/>
        <charset val="177"/>
      </rPr>
      <t>אחזקת גנים לרבות ציוד, חשמל  ותקשורת .</t>
    </r>
  </si>
  <si>
    <r>
      <t xml:space="preserve"> </t>
    </r>
    <r>
      <rPr>
        <sz val="13"/>
        <rFont val="David"/>
        <family val="2"/>
        <charset val="177"/>
      </rPr>
      <t>אחזקת בתי ספר לרבות ציוד, חשמל ותקשורת .</t>
    </r>
  </si>
  <si>
    <r>
      <t xml:space="preserve"> </t>
    </r>
    <r>
      <rPr>
        <sz val="13"/>
        <rFont val="David"/>
        <family val="2"/>
        <charset val="177"/>
      </rPr>
      <t>שיפוצים במוסדות .</t>
    </r>
  </si>
  <si>
    <r>
      <t xml:space="preserve"> </t>
    </r>
    <r>
      <rPr>
        <sz val="13"/>
        <rFont val="David"/>
        <family val="2"/>
        <charset val="177"/>
      </rPr>
      <t>הסעות ילדים בחינוך המיוחד והרגיל .</t>
    </r>
  </si>
  <si>
    <r>
      <t xml:space="preserve"> </t>
    </r>
    <r>
      <rPr>
        <sz val="13"/>
        <rFont val="David"/>
        <family val="2"/>
        <charset val="177"/>
      </rPr>
      <t>אחזקת מתי"א, מועדוניות וחווה חקלאית .</t>
    </r>
  </si>
  <si>
    <r>
      <t xml:space="preserve"> </t>
    </r>
    <r>
      <rPr>
        <sz val="13"/>
        <rFont val="David"/>
        <family val="2"/>
        <charset val="177"/>
      </rPr>
      <t>ביטוח תלמידים .</t>
    </r>
  </si>
  <si>
    <t>הכנת תוכנית אב לחינוך .</t>
  </si>
  <si>
    <t>המועצה לקראת סיכומים סופיים להפעלת תוכנית שמידט בעלות של 960 אלש"ח, עם האישור הסופי יערך תקצוב מקביל בתקציב הרגיל לרישום ההוצאות וההכנסות בסעיפים הרלוונטיים .</t>
  </si>
  <si>
    <t>שכר עובדי רווחה מורכב מכ-   13.48  תקנים ומשרות מאוישות .</t>
  </si>
  <si>
    <t>תקציב השכר נקבע  לפי ביצוע בפועל בשנת 2011 , ובתיאום עם משרד העבודה והרווחה .</t>
  </si>
  <si>
    <t>הרשות משתתפת ב- % 25 מעלות השכר .</t>
  </si>
  <si>
    <t xml:space="preserve">  פעולות רווחה </t>
  </si>
  <si>
    <t>הפעולות מלבד פעולות מנהלה , מתוקצבות על ידי משרד הרווה בשיעור 75% והן נקבעות בהתאם לצרכי הישוב והחלטות הדרג הניהולי של האגף .</t>
  </si>
  <si>
    <t xml:space="preserve"> פירעון  מלוות</t>
  </si>
  <si>
    <t>בעיקר מלוות שנלקחו מבנק אוצר השלטון / בנק דיקסיה לישראל בע"מ .</t>
  </si>
  <si>
    <t>המלוות כוללות קרן, ריבית והצמדה .</t>
  </si>
  <si>
    <t>בוצע מחזור מלוות בשנת 2010 .</t>
  </si>
  <si>
    <t>להלן פירוט המלוות לשנת 2012  לפי בנקים  :</t>
  </si>
  <si>
    <t>שם  הבנק</t>
  </si>
  <si>
    <t>מים וביוב</t>
  </si>
  <si>
    <t>כיסוי גרעון</t>
  </si>
  <si>
    <t>דקסיה</t>
  </si>
  <si>
    <t>בנק לאומי</t>
  </si>
  <si>
    <t>הלוואות חדשות</t>
  </si>
  <si>
    <t>ס ה " כ</t>
  </si>
  <si>
    <t xml:space="preserve">  הוצאות מימון</t>
  </si>
  <si>
    <t>בעיקר הוצאות מימון לבנקים ולמוסדות שכר ותיק האיחוד .</t>
  </si>
  <si>
    <t>מדובר בהוצאות חד פעמיות ובלתי צפויות מראש בשנת התקציב שלא נצפו ולא תוקצבו, הוצאות שלא נרשמו בשנים קודמות ובנוסף קנס אי תאגוד בסך  2  מליון ₪ .  .</t>
  </si>
  <si>
    <t xml:space="preserve">  הוצאות מותנות</t>
  </si>
  <si>
    <t>הוצאות של פעולות כלליות, שביצוען מותנה בעמידה בייעדי הגבייה וקבלת המענק המותנה בסך  1,478 אלש"ח .</t>
  </si>
  <si>
    <t>עודף / גרעון</t>
  </si>
  <si>
    <t xml:space="preserve">סה"כ עודף הוצאות על הכנסות בשנת 2012  בסך  3,421  אלש"ח מותנה באישור מועצת הרשות ומשרד הפנים, המועצה מתחייבת לאיזון תקציבי בשנת  2013 . </t>
  </si>
  <si>
    <t>עירייה</t>
  </si>
  <si>
    <t>עוספיה</t>
  </si>
  <si>
    <t>שם הרשות  :  מועצה מקומית עוספיה</t>
  </si>
  <si>
    <t>נספח 3 - פירוט גרעונות</t>
  </si>
  <si>
    <t>גרעונות</t>
  </si>
  <si>
    <t>דוח מבוקר 12/2002</t>
  </si>
  <si>
    <t>דוח מבוקר 12/2003</t>
  </si>
  <si>
    <t>דו"ח מבוקר  12/2004</t>
  </si>
  <si>
    <t>דו"ח מבוקר  12/2005</t>
  </si>
  <si>
    <t>דו"ח מבוקר  12/2006</t>
  </si>
  <si>
    <t>דו"ח מבוקר  12/2007</t>
  </si>
  <si>
    <t>דו"ח רבעוני  12/2008</t>
  </si>
  <si>
    <t>תחזית ביצוע עירייה  12/2009</t>
  </si>
  <si>
    <t>מ.מ. עוספיה  12/2009</t>
  </si>
  <si>
    <t>מ.מ. עוספיה  12/2010</t>
  </si>
  <si>
    <t>מ.מ. עוספיה  12/2011</t>
  </si>
  <si>
    <t>נ  כ  ס  י  ם</t>
  </si>
  <si>
    <t>גרעון מצטבר בתקציב הרגיל</t>
  </si>
  <si>
    <t>גרעון סופי מצטבר בפיתוח</t>
  </si>
  <si>
    <t>גרעון זמני בפיתוח</t>
  </si>
  <si>
    <t>עודפים זמנים</t>
  </si>
  <si>
    <t>קרנות מתוקצבות</t>
  </si>
  <si>
    <t>גרעון מצטבר תקציב רגיל:</t>
  </si>
  <si>
    <t>דו"ח רבעוני  12/2007</t>
  </si>
  <si>
    <t>בנקים , משיכות יתר והלוואות</t>
  </si>
  <si>
    <t>משרדי ממשלה ומוסדות שכר*</t>
  </si>
  <si>
    <t>ספקים וזכאים**</t>
  </si>
  <si>
    <t>קרנות בלתי מתוקצבות</t>
  </si>
  <si>
    <t>שם רשות: מועצה מקומית עוספיה</t>
  </si>
  <si>
    <t>נספח 4 - ריכוז תקבולים ותשלומים של התקציב הרגיל לפי פרקי תקציב</t>
  </si>
  <si>
    <t>תשלומים</t>
  </si>
  <si>
    <t>תקבולים</t>
  </si>
  <si>
    <t>ביצוע 2011</t>
  </si>
  <si>
    <t>תחזית ביצוע 2012</t>
  </si>
  <si>
    <t>מס' פרק</t>
  </si>
  <si>
    <t>שכר</t>
  </si>
  <si>
    <t>פעולות</t>
  </si>
  <si>
    <t>ממשלה</t>
  </si>
  <si>
    <t>עצמיות</t>
  </si>
  <si>
    <t>6 הנהלה וכלליות</t>
  </si>
  <si>
    <t>1 מיסים ומענקים</t>
  </si>
  <si>
    <t>ארנונות</t>
  </si>
  <si>
    <t>הנחות ארנונה</t>
  </si>
  <si>
    <t>אגרות</t>
  </si>
  <si>
    <t>היטלים</t>
  </si>
  <si>
    <t>פרעון מלוות</t>
  </si>
  <si>
    <t xml:space="preserve">מוסדות השת' </t>
  </si>
  <si>
    <t>מענקים כלליים</t>
  </si>
  <si>
    <t>סה"כ 6</t>
  </si>
  <si>
    <t>סה"כ 1</t>
  </si>
  <si>
    <t>7 שירותים מקומיים</t>
  </si>
  <si>
    <t>2 שרותים מקומיים</t>
  </si>
  <si>
    <t>שמירה וביטחון</t>
  </si>
  <si>
    <t>תכנון ובניין עיר</t>
  </si>
  <si>
    <t>חגיגות ואירועים</t>
  </si>
  <si>
    <t>שרותים שונים</t>
  </si>
  <si>
    <t>פיקוח עירוני</t>
  </si>
  <si>
    <t>סה"כ 7</t>
  </si>
  <si>
    <t>סה"כ 2</t>
  </si>
  <si>
    <t>8 שרותים ממלכתיים</t>
  </si>
  <si>
    <t xml:space="preserve"> שרותים ממלכתיים</t>
  </si>
  <si>
    <t>קליטת עליה</t>
  </si>
  <si>
    <t>איכות סביבה</t>
  </si>
  <si>
    <t>סה"כ 8</t>
  </si>
  <si>
    <t>סה"כ 3</t>
  </si>
  <si>
    <t>9 מפעלים</t>
  </si>
  <si>
    <t>4 מפעלים</t>
  </si>
  <si>
    <t>93-94</t>
  </si>
  <si>
    <t>נכסים</t>
  </si>
  <si>
    <t>מפעל הביוב</t>
  </si>
  <si>
    <t>סה"כ 91-98</t>
  </si>
  <si>
    <t>סה"כ 4</t>
  </si>
  <si>
    <t>99 תשלומים בלתי רגילים</t>
  </si>
  <si>
    <t>5 תקבולים בלתי רגילים</t>
  </si>
  <si>
    <t>פנסיה</t>
  </si>
  <si>
    <t>הלוואות</t>
  </si>
  <si>
    <t>קרנות</t>
  </si>
  <si>
    <t>הוצ' מיוחדות</t>
  </si>
  <si>
    <t>אחרות</t>
  </si>
  <si>
    <t>סה"כ 99</t>
  </si>
  <si>
    <t>סה"כ 5</t>
  </si>
  <si>
    <t>סה"כ תשלומים</t>
  </si>
  <si>
    <t>סה"כ תקבולים</t>
  </si>
  <si>
    <t>גזבר הרשות</t>
  </si>
  <si>
    <t>שם הרשות :  מועצה מקומית עוספיה</t>
  </si>
  <si>
    <t>נספח 5 ב - שינוים אחרים בשכר</t>
  </si>
  <si>
    <t>עיריית עיר הכרמל</t>
  </si>
  <si>
    <t>נושא</t>
  </si>
  <si>
    <t>ביצוע 2002 שוטף</t>
  </si>
  <si>
    <t>תקציב 2004</t>
  </si>
  <si>
    <t>ביצוע  2004</t>
  </si>
  <si>
    <t>תקציב  2005</t>
  </si>
  <si>
    <t>ביצוע  2005</t>
  </si>
  <si>
    <t>תקציב 2006</t>
  </si>
  <si>
    <t>ביצוע 2006</t>
  </si>
  <si>
    <t>תקציב 2007</t>
  </si>
  <si>
    <t>ביצוע 2007</t>
  </si>
  <si>
    <t>תקציב 2008</t>
  </si>
  <si>
    <t>ביצוע  2008</t>
  </si>
  <si>
    <t>תקציב 2009</t>
  </si>
  <si>
    <t>ביצוע 0609</t>
  </si>
  <si>
    <t>תחזית 2009</t>
  </si>
  <si>
    <t>ביצוע  עוספיה 2011</t>
  </si>
  <si>
    <t>צמצום השעות נוספות</t>
  </si>
  <si>
    <t>צמצום אחזקת רכב</t>
  </si>
  <si>
    <t>חד פעמי</t>
  </si>
  <si>
    <t>תיקוני חריגות שכר</t>
  </si>
  <si>
    <t>עידוד צמיחה</t>
  </si>
  <si>
    <t>עלויות עובדים פורשים/מפוטרים</t>
  </si>
  <si>
    <t>משרות חדשות (-)</t>
  </si>
  <si>
    <t>עלויות בפועל</t>
  </si>
  <si>
    <t>שם הרשות: מועצה מקומית עוספיה</t>
  </si>
  <si>
    <t>נספח 6 - פירוט קיצוץ בפעולות</t>
  </si>
  <si>
    <t>עיריית עי הכרמל</t>
  </si>
  <si>
    <t>פרק-סעיף</t>
  </si>
  <si>
    <t>הנושא</t>
  </si>
  <si>
    <t xml:space="preserve"> ביצוע   2002</t>
  </si>
  <si>
    <t>תקציב 2003</t>
  </si>
  <si>
    <t xml:space="preserve"> ביצוע  2003</t>
  </si>
  <si>
    <t>תקציב  2004</t>
  </si>
  <si>
    <t>תקציב  2007</t>
  </si>
  <si>
    <t>תקציב  2008</t>
  </si>
  <si>
    <t>ביצוע 2008</t>
  </si>
  <si>
    <t>תקציב  2009</t>
  </si>
  <si>
    <t>תחזית  2009</t>
  </si>
  <si>
    <t>ביצוע   עוספיה 2011</t>
  </si>
  <si>
    <t>ריכוז</t>
  </si>
  <si>
    <t>סה"כ קיצוץ</t>
  </si>
  <si>
    <t>נספח 7 - פרעון מלוות ומימון</t>
  </si>
  <si>
    <t>ביצוע   2005</t>
  </si>
  <si>
    <t>תקציב   2006</t>
  </si>
  <si>
    <t>ביצוע   2006</t>
  </si>
  <si>
    <t>תקציב   2007</t>
  </si>
  <si>
    <t>ביצוע    2007</t>
  </si>
  <si>
    <t>תקציב    2008</t>
  </si>
  <si>
    <t>ביצוע    2008</t>
  </si>
  <si>
    <t>תקציב    2009</t>
  </si>
  <si>
    <t>תקציב 2010</t>
  </si>
  <si>
    <t>ביצוע  2010</t>
  </si>
  <si>
    <t>תקציב    2011</t>
  </si>
  <si>
    <t>ביצוע  2011</t>
  </si>
  <si>
    <t>תקציב    2012</t>
  </si>
  <si>
    <t>תקציב    2013</t>
  </si>
  <si>
    <t>פרעון מלוות ביוב מקורי</t>
  </si>
  <si>
    <t>הלוואת כיסוי גרעון**</t>
  </si>
  <si>
    <t>מחזור ביוב</t>
  </si>
  <si>
    <t>פרעון מלוות אחר</t>
  </si>
  <si>
    <t>נספח 8 - פירוט תמיכות</t>
  </si>
  <si>
    <t>שם גוף נתמך</t>
  </si>
  <si>
    <t xml:space="preserve">ביצוע   2004 </t>
  </si>
  <si>
    <t>תקציב   2005</t>
  </si>
  <si>
    <t xml:space="preserve"> ביצוע  2006</t>
  </si>
  <si>
    <t xml:space="preserve">ביצוע  2007  </t>
  </si>
  <si>
    <t>מתנ"ס</t>
  </si>
  <si>
    <t>קבוצות ספורט</t>
  </si>
  <si>
    <t>חברה כלכלית</t>
  </si>
  <si>
    <t>ג ז ב ר</t>
  </si>
  <si>
    <t>נספח 9 - פירוט שינויים בהכנסה</t>
  </si>
  <si>
    <t>עיריית  עיר  הכרמל</t>
  </si>
  <si>
    <t>ביצוע 2003 (מקודם)</t>
  </si>
  <si>
    <t>תוספת ב-  2004</t>
  </si>
  <si>
    <t>הכנסה בפועל  2004</t>
  </si>
  <si>
    <t>תוספת ב-  2005</t>
  </si>
  <si>
    <t>הכנסה חזויה ב- 2005</t>
  </si>
  <si>
    <t>שינויים והתייעלות</t>
  </si>
  <si>
    <t>הכנסה חזויה ב- 2006</t>
  </si>
  <si>
    <t>ביצוע  2006</t>
  </si>
  <si>
    <t>הכנסה חזויה ב- 2007</t>
  </si>
  <si>
    <t>ביצוע  2007</t>
  </si>
  <si>
    <t>הכנסה חזויה ב- 2008</t>
  </si>
  <si>
    <t>הכנסה חזויה ב- 2009</t>
  </si>
  <si>
    <t>ביצוע  062009</t>
  </si>
  <si>
    <t>תחזית  שנת    2009</t>
  </si>
  <si>
    <t xml:space="preserve">ארנונה למגורים </t>
  </si>
  <si>
    <t>גידול שטחים</t>
  </si>
  <si>
    <t>העלאה חריגה</t>
  </si>
  <si>
    <t>תוספת מסקר נכסים</t>
  </si>
  <si>
    <t>אכיפת גביה (פיגורים נוספים)</t>
  </si>
  <si>
    <t>ארנונה שלא למגורים</t>
  </si>
  <si>
    <t>סה"כ  ארנונה</t>
  </si>
  <si>
    <t>יתר עצמיות</t>
  </si>
  <si>
    <t>ס ה " כ    הכנסות   עצמיות</t>
  </si>
  <si>
    <t>עיריית עיר  הכרמל</t>
  </si>
  <si>
    <t>ביצוע 2005</t>
  </si>
  <si>
    <t>תחזית ביצוע 2006</t>
  </si>
  <si>
    <t>תחזית ביצוע 2007</t>
  </si>
  <si>
    <t>תחזית ביצוע 2008</t>
  </si>
  <si>
    <t>תחזית ביצוע 2009</t>
  </si>
  <si>
    <t>מ ס פ ר</t>
  </si>
  <si>
    <t>פרוט    ההוצאות</t>
  </si>
  <si>
    <t>הצעת התקציב</t>
  </si>
  <si>
    <t xml:space="preserve">הצעת תקציב </t>
  </si>
  <si>
    <t>ה ס ע י ף-חדש</t>
  </si>
  <si>
    <t>שם הסעיף</t>
  </si>
  <si>
    <t>2016</t>
  </si>
  <si>
    <t>6/2016</t>
  </si>
  <si>
    <t>2017</t>
  </si>
  <si>
    <t>2018</t>
  </si>
  <si>
    <t>ציוד משרדי הנהלת הרשות</t>
  </si>
  <si>
    <t xml:space="preserve">עתון הארץ מנוי </t>
  </si>
  <si>
    <t>פרסום, עיתונות ויחסי ציבור</t>
  </si>
  <si>
    <t>פרסום מכרזים תברים וכח אדם</t>
  </si>
  <si>
    <t>חומרים  ודברי ניקוי</t>
  </si>
  <si>
    <t>הוצאות משרדיות מועצה - הוצאות</t>
  </si>
  <si>
    <t xml:space="preserve">השתלמויות עובדי הרשות ואיגודים מקצועיים </t>
  </si>
  <si>
    <t>שכר ראש המועצה</t>
  </si>
  <si>
    <t>כיבוד</t>
  </si>
  <si>
    <t>דמי חבר שלטון מקומי ופורום דרוזים</t>
  </si>
  <si>
    <t>סלקום - עובדי מועצה</t>
  </si>
  <si>
    <t>שכר עובדי לשכת ראש הרשות</t>
  </si>
  <si>
    <t>השתתפות בפנסיה גמלאות מ. אוצר</t>
  </si>
  <si>
    <t xml:space="preserve">שכר מבקר </t>
  </si>
  <si>
    <t>הוצאות מבקר דמי חבר והשתלמות</t>
  </si>
  <si>
    <t xml:space="preserve">שכר מזכיר ומזכירתו </t>
  </si>
  <si>
    <t>תחזוקת מבנה מועצה</t>
  </si>
  <si>
    <t>חשמל בנין מועצה</t>
  </si>
  <si>
    <t xml:space="preserve">מים משרדי מועצה </t>
  </si>
  <si>
    <t xml:space="preserve">תקשורת ומערכת נוכחות עובדים </t>
  </si>
  <si>
    <t xml:space="preserve">שכירות מכונות הדפסה </t>
  </si>
  <si>
    <t xml:space="preserve">הוצ תקשורת בזק ואינטרנט </t>
  </si>
  <si>
    <t>מיכון אוטומציה/רשיונות</t>
  </si>
  <si>
    <t>מכרז</t>
  </si>
  <si>
    <t>שכר אגף מינהל</t>
  </si>
  <si>
    <t>שכר נקיון מוסדות</t>
  </si>
  <si>
    <t>הוצ' משפטיות-אגרות לבית משפט וחוות דעת</t>
  </si>
  <si>
    <t xml:space="preserve">שכר טרחה יועצים משפטיים </t>
  </si>
  <si>
    <t>תובע עירוני</t>
  </si>
  <si>
    <t>אגרות תביעות משפטיות גביה</t>
  </si>
  <si>
    <t>לבדוק החזר</t>
  </si>
  <si>
    <t>סה"כ  61</t>
  </si>
  <si>
    <t>סה"כ מנהל כללי</t>
  </si>
  <si>
    <t>שכר גזברות</t>
  </si>
  <si>
    <t>ציוד משרדי-גזברות</t>
  </si>
  <si>
    <t>הוספת חשב</t>
  </si>
  <si>
    <t>שכר מחלקת שכר</t>
  </si>
  <si>
    <t>לפנסיה</t>
  </si>
  <si>
    <t>שכר מחלקת גבייה</t>
  </si>
  <si>
    <t>הוצ' שכ"ד גביה</t>
  </si>
  <si>
    <t>הוצ' חשמל מחלקת גביה</t>
  </si>
  <si>
    <t>גביה-ציוד משרדי</t>
  </si>
  <si>
    <t>גביה תקשורת ואינטרנט</t>
  </si>
  <si>
    <t xml:space="preserve">תפעול מערכת הגביה </t>
  </si>
  <si>
    <t>מה זה</t>
  </si>
  <si>
    <t>גביה קבלניות- חברת גביה</t>
  </si>
  <si>
    <t>סקר שלטים גביה</t>
  </si>
  <si>
    <t>נעשה</t>
  </si>
  <si>
    <t>סה"כ  62</t>
  </si>
  <si>
    <t>סה"כ מינהל כספי</t>
  </si>
  <si>
    <t xml:space="preserve">עמלות ואשראי בנקים </t>
  </si>
  <si>
    <t>הוצאות ריבית קרן שיקום</t>
  </si>
  <si>
    <t>סה"כ  63</t>
  </si>
  <si>
    <t>סה"כ מימון</t>
  </si>
  <si>
    <t xml:space="preserve">קרן פרע"מ </t>
  </si>
  <si>
    <t>רבית פרע"מ</t>
  </si>
  <si>
    <t>הצמדה פרע"מ</t>
  </si>
  <si>
    <t>סה"כ  64</t>
  </si>
  <si>
    <t>סה"כ פרע"מ</t>
  </si>
  <si>
    <t>סה"כ מנהל</t>
  </si>
  <si>
    <t>תברואה-הוצאת דלק</t>
  </si>
  <si>
    <t xml:space="preserve">תברואה-שכירות רכב </t>
  </si>
  <si>
    <t>שכר מחלקת תברואה</t>
  </si>
  <si>
    <t>שכר טיאוט רחובות</t>
  </si>
  <si>
    <t>קבלניות פינוי  אשפה</t>
  </si>
  <si>
    <t>רמ-סע פינוי פסולת גושית</t>
  </si>
  <si>
    <t>שכר איכות הסביבה</t>
  </si>
  <si>
    <t>ביטול יחידה</t>
  </si>
  <si>
    <t>חשמל וחומרים כבישים</t>
  </si>
  <si>
    <t>עבודות מנוף ואחזקה</t>
  </si>
  <si>
    <t>בדיקה תדירות חודשית</t>
  </si>
  <si>
    <t>פיקוח רישוי עסקים ותברואה</t>
  </si>
  <si>
    <t>שכר וטרינר</t>
  </si>
  <si>
    <t>מלחמה בכלבת</t>
  </si>
  <si>
    <t>הדברה חומרים</t>
  </si>
  <si>
    <t>סה"כ  71</t>
  </si>
  <si>
    <t>סה"כ תברואה</t>
  </si>
  <si>
    <t>שמירה ובטחון הגנה מועצה</t>
  </si>
  <si>
    <t>שכ"ד משמר אזרחי + מד"א</t>
  </si>
  <si>
    <t>הג"א ארצי לשעת חירום</t>
  </si>
  <si>
    <t>הג"א מקומי</t>
  </si>
  <si>
    <t>כיבוי אש -השתתפויות</t>
  </si>
  <si>
    <t>סה"כ   72</t>
  </si>
  <si>
    <t>סה"כ שמירה ובטחון</t>
  </si>
  <si>
    <t>שכר מחלקת הנדסה</t>
  </si>
  <si>
    <t>הנדסה חומרים ומחשוב</t>
  </si>
  <si>
    <t>מחפרון- עבודות הנדסה</t>
  </si>
  <si>
    <t xml:space="preserve">השתת' בתקציב הועדה המקומית </t>
  </si>
  <si>
    <t>סה"כ  73</t>
  </si>
  <si>
    <t>סה"כ תכנון ובנין עיר</t>
  </si>
  <si>
    <t>הוצאות תקשורת מחסן</t>
  </si>
  <si>
    <t>שכר מחלקת אחזקת נכסים</t>
  </si>
  <si>
    <t xml:space="preserve">כבישים -אחזקה, חומרים </t>
  </si>
  <si>
    <t xml:space="preserve">תחזוקה - הוצאות דלק  </t>
  </si>
  <si>
    <t>תחזוקה שכירות רכב</t>
  </si>
  <si>
    <t>חשמל תאורת רחובות</t>
  </si>
  <si>
    <t>התייעלות</t>
  </si>
  <si>
    <t>מים לגנים ציבוריים</t>
  </si>
  <si>
    <t>בטיחות בדרכים -הרשות הלאומית</t>
  </si>
  <si>
    <t>השתתפות רשות הניקוז קישון+כרמל</t>
  </si>
  <si>
    <t>בתי קברות מים</t>
  </si>
  <si>
    <t>השתתפות פרויקטים בתי עלמין</t>
  </si>
  <si>
    <t>סה"כ  74</t>
  </si>
  <si>
    <t>סה"כ נכסים ציבוריים</t>
  </si>
  <si>
    <t xml:space="preserve">ביטוח המועצה -ביטוחים </t>
  </si>
  <si>
    <t>סה"כ  76</t>
  </si>
  <si>
    <t>השתתפות תב"רים</t>
  </si>
  <si>
    <t>סה"כ  77</t>
  </si>
  <si>
    <t xml:space="preserve">סה"כ </t>
  </si>
  <si>
    <t>סה"כ שירותים מקומיים</t>
  </si>
  <si>
    <t>חינוך שכר מינהל חינוך</t>
  </si>
  <si>
    <t>תקשורת למח חינוך</t>
  </si>
  <si>
    <t>פרויקטים שונים מחלקת חינוך</t>
  </si>
  <si>
    <t>בטיחות מוסדות חינוך</t>
  </si>
  <si>
    <t>סה"כ  811</t>
  </si>
  <si>
    <t>סה"כ מינהל</t>
  </si>
  <si>
    <t>שכר גני ילדים עוזרות</t>
  </si>
  <si>
    <t>גנ"י-חומרים והעשרה והצטיידות</t>
  </si>
  <si>
    <t>אחזקה ועבודות קבלניות גנים</t>
  </si>
  <si>
    <t>שכר גני ילדים יוח"א ומיל"ת</t>
  </si>
  <si>
    <t>שכר הטף והאתגר</t>
  </si>
  <si>
    <t>שכר חינוך מיוחד גן טיפולי</t>
  </si>
  <si>
    <t>גנ"י טרום חובה שכ"ד</t>
  </si>
  <si>
    <t>אחזקה ותיקונים גני ילדים</t>
  </si>
  <si>
    <t xml:space="preserve">גני ילדים-חשמל </t>
  </si>
  <si>
    <t>גני ילדים-מים</t>
  </si>
  <si>
    <t>השתתפות בתקציב הגנים</t>
  </si>
  <si>
    <t>ג.ע.מדינה</t>
  </si>
  <si>
    <t>מרכזי נוער יישוביים - שכר</t>
  </si>
  <si>
    <t>מרכזי נוער יישוביים</t>
  </si>
  <si>
    <t>הטף ואתגר פעילויות</t>
  </si>
  <si>
    <t>שכר תוכנית אור</t>
  </si>
  <si>
    <t>יחידת נוער במרחב הפתוח - שכר</t>
  </si>
  <si>
    <t>יחידת נוער במרחב הפתוח - פעילות</t>
  </si>
  <si>
    <t>חיזוק משאבי התמודדות</t>
  </si>
  <si>
    <t>תכנית ראשית - תוכנית לאומית</t>
  </si>
  <si>
    <t>סה"כ  812</t>
  </si>
  <si>
    <t>סה"כ  טרום חובה</t>
  </si>
  <si>
    <t>שכר שרתים</t>
  </si>
  <si>
    <t>חשמל ומים בתי ספר יסודיים ניהול עצמי</t>
  </si>
  <si>
    <t>אחזקת מעלית בי"ס יסודי ב</t>
  </si>
  <si>
    <t>טלפון ותקשורת בתי ספר יסודיים ניהול עצמי</t>
  </si>
  <si>
    <t>קבלניות שיפוצי קיץ בתי ספר יסודיים</t>
  </si>
  <si>
    <t>חשמל אולם ספורט בית ספר ב</t>
  </si>
  <si>
    <t>השתתפות המועצה בתב"ר מרכיבי בטיחות</t>
  </si>
  <si>
    <t>שכר מזכירים בתי ספר יסודיים</t>
  </si>
  <si>
    <t>שכר ב"ס יסודי שכר עובדות ניקיון</t>
  </si>
  <si>
    <t xml:space="preserve">אחות בית ספר </t>
  </si>
  <si>
    <t>הקצבה לב"ס יסודי א</t>
  </si>
  <si>
    <t>הקצבה לב"ס יסודי ב</t>
  </si>
  <si>
    <t>הקצבה לבי"ס יסודי ג</t>
  </si>
  <si>
    <t>הקצבה לבי"ס אלאשראק</t>
  </si>
  <si>
    <t>אגרות תלמידי חוץ</t>
  </si>
  <si>
    <t>שכר סייעות כיתתיות ותגבור</t>
  </si>
  <si>
    <t>שכר חינוך מיוחד-  סייעות צמודות</t>
  </si>
  <si>
    <t>שכר סייעות לווי הסעות</t>
  </si>
  <si>
    <t>סה"כ  813</t>
  </si>
  <si>
    <t>סה"כ חינוך יסודי</t>
  </si>
  <si>
    <t>שכר עובדים חט"ב</t>
  </si>
  <si>
    <t>שכ"ד חט"ב  אלאשראק</t>
  </si>
  <si>
    <t>חשמל חט"ב</t>
  </si>
  <si>
    <t>מים חט"ב</t>
  </si>
  <si>
    <t>חט"ב תקשורת</t>
  </si>
  <si>
    <t>הקצבה לבתי ספר חט"ב</t>
  </si>
  <si>
    <t>הקצבה לבתי ספר חט"ב אלשראק</t>
  </si>
  <si>
    <t>סה"כ  814</t>
  </si>
  <si>
    <t>סה"כ חט"ב</t>
  </si>
  <si>
    <t xml:space="preserve">שכר מורים תיכון אלאשראק </t>
  </si>
  <si>
    <t>סה"כ  815</t>
  </si>
  <si>
    <t>סה"כ תיכון אלאשראק</t>
  </si>
  <si>
    <t>שכר קב"ט מוסדות חינוך</t>
  </si>
  <si>
    <t xml:space="preserve">אבטחת ושמירת מוסדות חינוך </t>
  </si>
  <si>
    <t>שכר פרויקט מניעת נשירה</t>
  </si>
  <si>
    <t>שכר פסגה</t>
  </si>
  <si>
    <t>השתת מ. חינוך פסג"ה</t>
  </si>
  <si>
    <t xml:space="preserve">שכר שירות פסיכולוגי </t>
  </si>
  <si>
    <t>שכ"ד שירות פסיכולוגי</t>
  </si>
  <si>
    <t>שרות פסיכולוגי חשמל</t>
  </si>
  <si>
    <t>שרות פסיכולוגי מים</t>
  </si>
  <si>
    <t>שרות פסיכולוגי ציוד וריהוט מחלקה</t>
  </si>
  <si>
    <t>שפ"י חומרים וערכות אבחון</t>
  </si>
  <si>
    <t>שפ"י הדרכה</t>
  </si>
  <si>
    <t>ביטוח תלמידים חינוך</t>
  </si>
  <si>
    <t>שכר מעדוניות חינוך</t>
  </si>
  <si>
    <t>שכ"ד מעדוניות חינוך</t>
  </si>
  <si>
    <t>אחזקה מעדוניות חינוך</t>
  </si>
  <si>
    <t>הזנה וחומרים מעדוניות חינוך</t>
  </si>
  <si>
    <t>שכר קב"ס</t>
  </si>
  <si>
    <t>שכר פרויקט רווחה חינוכית-אגף שחר</t>
  </si>
  <si>
    <t>פרויקט רווחה חינוכית פעילות</t>
  </si>
  <si>
    <t>הסעות  חינוך רגיל</t>
  </si>
  <si>
    <t>הסעות  חינוך מיוחד</t>
  </si>
  <si>
    <t>מרכז מתי"א חשמל</t>
  </si>
  <si>
    <t>מרכז מתי"א מים</t>
  </si>
  <si>
    <t>מרכז מתי"א תקשורת</t>
  </si>
  <si>
    <t>מתי"א הצטידות (השתת' משרד חינוך )</t>
  </si>
  <si>
    <t>תמיכות ילדי צד"ל</t>
  </si>
  <si>
    <t>מתי"א שכר עובדים</t>
  </si>
  <si>
    <t xml:space="preserve">מתי"א שכ"ד </t>
  </si>
  <si>
    <t>סה"כ  817</t>
  </si>
  <si>
    <t>סה"כ שירותים נוספים</t>
  </si>
  <si>
    <t>פר"ח השתתפות</t>
  </si>
  <si>
    <t>קייטנות משרד חינוך</t>
  </si>
  <si>
    <t>שכר קידום נוער</t>
  </si>
  <si>
    <t xml:space="preserve">תוכנית לאומית תקשוב - קיזוז רשיות </t>
  </si>
  <si>
    <t>סה"כ  818-819</t>
  </si>
  <si>
    <t>סה"כ מבוגרים</t>
  </si>
  <si>
    <t xml:space="preserve">סה"כ  81 </t>
  </si>
  <si>
    <t>תרבות פרויקטים שונים-מ.התרבות</t>
  </si>
  <si>
    <t>חדש</t>
  </si>
  <si>
    <t>שכר ספרייה ציבורית</t>
  </si>
  <si>
    <t>שכר מתנ"ס</t>
  </si>
  <si>
    <t>אחזקת ופעילות מתנ"ס</t>
  </si>
  <si>
    <t>חשמל מתנ"ס</t>
  </si>
  <si>
    <t>מים מתנ"ס</t>
  </si>
  <si>
    <t>טלפון מתנ"ס</t>
  </si>
  <si>
    <t>שכר גיל רך</t>
  </si>
  <si>
    <t>חשמל גיל רך</t>
  </si>
  <si>
    <t>מים גיל רך</t>
  </si>
  <si>
    <t>טלפון גיל רך</t>
  </si>
  <si>
    <t>סה"כ מוקדי תרבות</t>
  </si>
  <si>
    <t>שכר עיר ללא אלימות ומלחמה בסמים</t>
  </si>
  <si>
    <t xml:space="preserve"> עיר ללא אלימות </t>
  </si>
  <si>
    <t>מלחמה בסמים</t>
  </si>
  <si>
    <t>שכ"ד ארכיון מועצה</t>
  </si>
  <si>
    <t>סה"כ נוער</t>
  </si>
  <si>
    <t>שכר ספורט</t>
  </si>
  <si>
    <t>מגרש כדורגל - מים</t>
  </si>
  <si>
    <t xml:space="preserve">פעולות וחומרים ספורט </t>
  </si>
  <si>
    <t>סה"כ ספורט</t>
  </si>
  <si>
    <t>סה"כ  82</t>
  </si>
  <si>
    <t>סה"כ תרבות</t>
  </si>
  <si>
    <t>שכר תחנת אם וילד</t>
  </si>
  <si>
    <t>סה"כ  832</t>
  </si>
  <si>
    <t>תחנות אם וילד</t>
  </si>
  <si>
    <t xml:space="preserve">מד"א הוצאות חשמל </t>
  </si>
  <si>
    <t>מד"א הוצאות מים</t>
  </si>
  <si>
    <t>מד"א השתתפות</t>
  </si>
  <si>
    <t>סה"כ  836</t>
  </si>
  <si>
    <t>סה"כ אמבולנס</t>
  </si>
  <si>
    <t>סה"כ  83</t>
  </si>
  <si>
    <t>סה"כ בריאות</t>
  </si>
  <si>
    <t>שכר לשכת רווחה</t>
  </si>
  <si>
    <t>שכ"ד יד שרה</t>
  </si>
  <si>
    <t>חשמל לשכת רווחה</t>
  </si>
  <si>
    <t>מים לשכת רווחה</t>
  </si>
  <si>
    <t>ציוד לשכת רווחה</t>
  </si>
  <si>
    <t>השתלמויות ודמי חבר רווחה</t>
  </si>
  <si>
    <t>הוצאות תקשורת  רווחה</t>
  </si>
  <si>
    <t>מחשוב מחלקת רווחה</t>
  </si>
  <si>
    <t>שכר עובדי רווחה מנהלי</t>
  </si>
  <si>
    <t>שכר מעדונית רווחה</t>
  </si>
  <si>
    <t>סה"כ  841</t>
  </si>
  <si>
    <t xml:space="preserve">מינהל רווחה </t>
  </si>
  <si>
    <t>סיוע למשפחות עם ילדים</t>
  </si>
  <si>
    <t>מקלטים לנשים מוכות</t>
  </si>
  <si>
    <t>משפחות במצוקה בקהילה</t>
  </si>
  <si>
    <t>פרט ומשפחה מגזר דרוזי</t>
  </si>
  <si>
    <t>סה"כ  842</t>
  </si>
  <si>
    <t>סה"כ רווחת הפרט והמשפחה</t>
  </si>
  <si>
    <t>מועדונית  -חשמל</t>
  </si>
  <si>
    <t>מועדונית -הזנה ושונות</t>
  </si>
  <si>
    <t>טיפול במשפחה אומנה</t>
  </si>
  <si>
    <t>מועדונית אינטנסיבית -שכ"ד</t>
  </si>
  <si>
    <t>מועדוניות משותפות חינוך ורווחה</t>
  </si>
  <si>
    <t>טיפול בפגיעות מיניות</t>
  </si>
  <si>
    <t>ת. לאומית ילד ונוער</t>
  </si>
  <si>
    <t xml:space="preserve">טיפול בילד בקהילה </t>
  </si>
  <si>
    <t>אחזקת ילדים פנימיות</t>
  </si>
  <si>
    <t>תכנית עם הפנים לקהילה</t>
  </si>
  <si>
    <t>ילדים במעונות יום</t>
  </si>
  <si>
    <t>סה"כ  843</t>
  </si>
  <si>
    <t>סה"כ שירותים לילד ולנוער</t>
  </si>
  <si>
    <t xml:space="preserve">שירות לזקן - שכירות אלמנזול </t>
  </si>
  <si>
    <t xml:space="preserve">אחזקה במעונות אזרח ותיק </t>
  </si>
  <si>
    <t>חשמל מעון לזקן- אלמנזול</t>
  </si>
  <si>
    <t>טיפול באזרח ותיק בסיכון</t>
  </si>
  <si>
    <t>מעדונים אזרח ותיק</t>
  </si>
  <si>
    <t>שכונה תומכת - פעילות עמותת זקני הכרמל</t>
  </si>
  <si>
    <t xml:space="preserve">פעילות לזקן דרוזים </t>
  </si>
  <si>
    <t>טיפול בזקן בקהילה אזרח ותיק</t>
  </si>
  <si>
    <t xml:space="preserve">מרכזי ועדות חוק סיעוד </t>
  </si>
  <si>
    <t>מסגרות יומית לזקן  עמותת זקני הכרמל</t>
  </si>
  <si>
    <t>מועדונים מועשרים עמותת זקני הכרמל</t>
  </si>
  <si>
    <t>סה"כ  844</t>
  </si>
  <si>
    <t>סה"כ שרותים לזקן</t>
  </si>
  <si>
    <t xml:space="preserve">סידור במעונות - מש"ה </t>
  </si>
  <si>
    <t xml:space="preserve">מעון ממשלתי- מש"ה </t>
  </si>
  <si>
    <t>טיפול בהורים ובילדיהם</t>
  </si>
  <si>
    <t>הסעות לאוטיסטים</t>
  </si>
  <si>
    <t>מע"ש שכר עובדים</t>
  </si>
  <si>
    <t>שכירות מע"שים</t>
  </si>
  <si>
    <t>מים מע"ש</t>
  </si>
  <si>
    <t>חשמל מע"ש</t>
  </si>
  <si>
    <t>תקשורת ואינטרנט מע"ש</t>
  </si>
  <si>
    <t>הזנה וציוד מע"ש</t>
  </si>
  <si>
    <t>מרכז יום טיפולי - מש"ה</t>
  </si>
  <si>
    <t xml:space="preserve">מעש"ים רווחה </t>
  </si>
  <si>
    <t>נופשונים מש"ה</t>
  </si>
  <si>
    <t>הסעות למ.יום למש"ה</t>
  </si>
  <si>
    <t>שירותים תומכים - מש"ה</t>
  </si>
  <si>
    <t>סה"כ  845</t>
  </si>
  <si>
    <t>סה"כ שירות למש"ה</t>
  </si>
  <si>
    <t>אחזקת נכים בפנמיות</t>
  </si>
  <si>
    <t>תעסוקה מוגנת למוגבל</t>
  </si>
  <si>
    <t>תוכנית מעבר</t>
  </si>
  <si>
    <t>מ.יום שיקומי לנכים</t>
  </si>
  <si>
    <t>הסעות למ.יום שיקומי</t>
  </si>
  <si>
    <t>ליווי למ.יום שיקומי</t>
  </si>
  <si>
    <t>נופשונים להבראה</t>
  </si>
  <si>
    <t>מרכזי אבחון ושיקום נכים בקהילה</t>
  </si>
  <si>
    <t>סה"כ  846</t>
  </si>
  <si>
    <t>סה"כ שרותי שקום</t>
  </si>
  <si>
    <t>טיפול בנוער ובצעירים</t>
  </si>
  <si>
    <t>טיפול בנערות במצוקה</t>
  </si>
  <si>
    <t>מרכז לנפגעי תקיפה מינית</t>
  </si>
  <si>
    <t>בתים חמים לנערות יעדים לצפון</t>
  </si>
  <si>
    <t>התמכרויות מבוגרים</t>
  </si>
  <si>
    <t>פרויקט וינגיט</t>
  </si>
  <si>
    <t>סה"כ 847</t>
  </si>
  <si>
    <t>סה"כ שרותי תקון</t>
  </si>
  <si>
    <t>התנדבות בקהילה</t>
  </si>
  <si>
    <t>מגזר דרוזי עבודה בקהילה ועוצמה</t>
  </si>
  <si>
    <t>סה"כ 848</t>
  </si>
  <si>
    <t>סה"כ משפחה וקהילה</t>
  </si>
  <si>
    <t>סה"כ  84</t>
  </si>
  <si>
    <t>סה"כ 85</t>
  </si>
  <si>
    <t>סה"כ מוסדות דת</t>
  </si>
  <si>
    <t xml:space="preserve">השתתפות איכות סביבה -תאגיד חיפה </t>
  </si>
  <si>
    <t xml:space="preserve">השתתפות תאגיד תמיר </t>
  </si>
  <si>
    <t>הוצאות איכות סביבה- סביבה ירוקה</t>
  </si>
  <si>
    <t>סה"כ  87</t>
  </si>
  <si>
    <t>סה"כ איכות הסביבה</t>
  </si>
  <si>
    <t>סה"כ  8</t>
  </si>
  <si>
    <t>סה"כ שירותים ממלכתיים</t>
  </si>
  <si>
    <t>שכר משק המים והביוב</t>
  </si>
  <si>
    <t>תיקונים מחלקת מים</t>
  </si>
  <si>
    <t>מים-הוצאות דלק</t>
  </si>
  <si>
    <t>שכירות  רכב</t>
  </si>
  <si>
    <t>קבלניות מחלקת מים</t>
  </si>
  <si>
    <t>קניות מים מקורות</t>
  </si>
  <si>
    <t>מעל זכויות מקורות</t>
  </si>
  <si>
    <t xml:space="preserve">קבלניות  מחפרון </t>
  </si>
  <si>
    <t>צריכת חשמל תחנת שאיבה מים</t>
  </si>
  <si>
    <t>סה"כ  91</t>
  </si>
  <si>
    <t>סה"כ מים</t>
  </si>
  <si>
    <t>שכ"ד מחסני מועצה</t>
  </si>
  <si>
    <t>חשמל מחסן</t>
  </si>
  <si>
    <t>סה"כ  93</t>
  </si>
  <si>
    <t>ביוב קרן</t>
  </si>
  <si>
    <t>ביוב ריבית</t>
  </si>
  <si>
    <t>ביוב הצמדה</t>
  </si>
  <si>
    <t>חשמל מכון שפכים</t>
  </si>
  <si>
    <t xml:space="preserve">פינוי בוצה וביוב מכון שאיבה חוף הכרמל </t>
  </si>
  <si>
    <t>שאיבת בורות ואחזקת מערכת ביוב</t>
  </si>
  <si>
    <t>סה"כ  97</t>
  </si>
  <si>
    <t>סה"כ ביוב</t>
  </si>
  <si>
    <t>הוצ" בגין  שנים קודמות וחד פעמיות</t>
  </si>
  <si>
    <t>הוצאות עודפות-מס הכנסה</t>
  </si>
  <si>
    <t xml:space="preserve"> הנחות ארנונה</t>
  </si>
  <si>
    <t>משכורת פנסיונרים</t>
  </si>
  <si>
    <t>העברה לכיסוי גרעון</t>
  </si>
  <si>
    <t>הוצאות מותנות</t>
  </si>
  <si>
    <t>סה"כ  99</t>
  </si>
  <si>
    <t>סה"כ בלתי רגילים</t>
  </si>
  <si>
    <t>סה"כ  9</t>
  </si>
  <si>
    <t>תקציב שכר מוניצפלי לשנת 2012</t>
  </si>
  <si>
    <t>משפחה</t>
  </si>
  <si>
    <t>פרטי</t>
  </si>
  <si>
    <t>ת.ז</t>
  </si>
  <si>
    <t xml:space="preserve">מחלקה </t>
  </si>
  <si>
    <t>שם מחלקה</t>
  </si>
  <si>
    <t>תאור תפקיד</t>
  </si>
  <si>
    <t>משרה</t>
  </si>
  <si>
    <t>עלות</t>
  </si>
  <si>
    <t>כיוף</t>
  </si>
  <si>
    <t>וגיה</t>
  </si>
  <si>
    <t>ראש המועצה</t>
  </si>
  <si>
    <t>ראש מועצה</t>
  </si>
  <si>
    <t>רוחאנה</t>
  </si>
  <si>
    <t>רינה</t>
  </si>
  <si>
    <t>לשכת ראש מועצה</t>
  </si>
  <si>
    <t>מזכירה</t>
  </si>
  <si>
    <t xml:space="preserve">עלו </t>
  </si>
  <si>
    <t>מואנס</t>
  </si>
  <si>
    <t>ביקורת</t>
  </si>
  <si>
    <t>מבקר פנים</t>
  </si>
  <si>
    <t>פלוני</t>
  </si>
  <si>
    <t>מזכירות</t>
  </si>
  <si>
    <t xml:space="preserve">מזכיר </t>
  </si>
  <si>
    <t>אבוסעדה</t>
  </si>
  <si>
    <t>חנין</t>
  </si>
  <si>
    <t>אגף מינהל</t>
  </si>
  <si>
    <t>שעתי</t>
  </si>
  <si>
    <t>מלאק</t>
  </si>
  <si>
    <t>סעיד</t>
  </si>
  <si>
    <t>ת.ז משרד פנים</t>
  </si>
  <si>
    <t>אלמוני</t>
  </si>
  <si>
    <t>ע. ראש מועצה</t>
  </si>
  <si>
    <t>סקר</t>
  </si>
  <si>
    <t>עבדאללה</t>
  </si>
  <si>
    <t>ממלא רכש</t>
  </si>
  <si>
    <t>עזאם</t>
  </si>
  <si>
    <t>שאמל</t>
  </si>
  <si>
    <t>ביטוחים וחוזים</t>
  </si>
  <si>
    <t>מרכזיה</t>
  </si>
  <si>
    <t>שרוף</t>
  </si>
  <si>
    <t>פרח</t>
  </si>
  <si>
    <t>מחשוב</t>
  </si>
  <si>
    <t>אבורוקן</t>
  </si>
  <si>
    <t>סלימאן</t>
  </si>
  <si>
    <t>אבטחה</t>
  </si>
  <si>
    <t>קב"ט</t>
  </si>
  <si>
    <t>סעיד-מחרז</t>
  </si>
  <si>
    <t>דיאנה-יאסמין</t>
  </si>
  <si>
    <t>כוח אדם</t>
  </si>
  <si>
    <t>שפיקה</t>
  </si>
  <si>
    <t>אם בית</t>
  </si>
  <si>
    <t>עזמי</t>
  </si>
  <si>
    <t>פריזה</t>
  </si>
  <si>
    <t>ניקיון מועצה</t>
  </si>
  <si>
    <t>אסדי</t>
  </si>
  <si>
    <t>רים</t>
  </si>
  <si>
    <t>גזברות</t>
  </si>
  <si>
    <t>גזברית</t>
  </si>
  <si>
    <t>0.75</t>
  </si>
  <si>
    <t>מנסור</t>
  </si>
  <si>
    <t>נאהדה</t>
  </si>
  <si>
    <t>מרון</t>
  </si>
  <si>
    <t>נעים</t>
  </si>
  <si>
    <t>נואל</t>
  </si>
  <si>
    <t>גביה</t>
  </si>
  <si>
    <t>ניקיון</t>
  </si>
  <si>
    <t>סמיר</t>
  </si>
  <si>
    <t>הלון</t>
  </si>
  <si>
    <t>נגוה</t>
  </si>
  <si>
    <t>האשם</t>
  </si>
  <si>
    <t>מנהל גביה</t>
  </si>
  <si>
    <t>עלו</t>
  </si>
  <si>
    <t>פריד</t>
  </si>
  <si>
    <t>רישוי עסקים</t>
  </si>
  <si>
    <t>אבופארס</t>
  </si>
  <si>
    <t>איכות הסביבה</t>
  </si>
  <si>
    <t>מנהל איכות סביבה</t>
  </si>
  <si>
    <t>אלשייך</t>
  </si>
  <si>
    <t>מפקח</t>
  </si>
  <si>
    <t>מלשי</t>
  </si>
  <si>
    <t>יוסף</t>
  </si>
  <si>
    <t>שירות ווטרינרי</t>
  </si>
  <si>
    <t>וטרינר</t>
  </si>
  <si>
    <t xml:space="preserve">פלוני </t>
  </si>
  <si>
    <t>הנדסה-תכנון</t>
  </si>
  <si>
    <t>מהנדס</t>
  </si>
  <si>
    <t>לביב</t>
  </si>
  <si>
    <t>תלחמי</t>
  </si>
  <si>
    <t xml:space="preserve">הנדסאי </t>
  </si>
  <si>
    <t>אבוזלף</t>
  </si>
  <si>
    <t>כרמלה</t>
  </si>
  <si>
    <t>הנדסאית</t>
  </si>
  <si>
    <t>רביע</t>
  </si>
  <si>
    <t>אחזקת נכסים</t>
  </si>
  <si>
    <t>אחזקה</t>
  </si>
  <si>
    <t>נאיף</t>
  </si>
  <si>
    <t>נלסון</t>
  </si>
  <si>
    <t>מערוף</t>
  </si>
  <si>
    <t>עזאיזה</t>
  </si>
  <si>
    <t>וליד</t>
  </si>
  <si>
    <t>רשיד</t>
  </si>
  <si>
    <t>חאלד</t>
  </si>
  <si>
    <t>אבו רוקן</t>
  </si>
  <si>
    <t>האני</t>
  </si>
  <si>
    <t>רחרוח</t>
  </si>
  <si>
    <t>חוסאם</t>
  </si>
  <si>
    <t>כמאל</t>
  </si>
  <si>
    <t>ממלא מקום מחלקת חינוך</t>
  </si>
  <si>
    <t>פלןני</t>
  </si>
  <si>
    <t>גאבר</t>
  </si>
  <si>
    <t>אקראם</t>
  </si>
  <si>
    <t>רכזת גנים</t>
  </si>
  <si>
    <t>נורה</t>
  </si>
  <si>
    <t>ספריה ציבורית</t>
  </si>
  <si>
    <t>ספרנית</t>
  </si>
  <si>
    <t>רוז</t>
  </si>
  <si>
    <t>נדא</t>
  </si>
  <si>
    <t>מתנס</t>
  </si>
  <si>
    <t>אשתיאק</t>
  </si>
  <si>
    <t>חלבי</t>
  </si>
  <si>
    <t>ויסאם</t>
  </si>
  <si>
    <t>גיל רך</t>
  </si>
  <si>
    <t>קידום נוער</t>
  </si>
  <si>
    <t>מנהל קידום נוער</t>
  </si>
  <si>
    <t>ספאא</t>
  </si>
  <si>
    <t>רכזת הילה</t>
  </si>
  <si>
    <t>פחראלדין</t>
  </si>
  <si>
    <t>היבה</t>
  </si>
  <si>
    <t>מדריכה</t>
  </si>
  <si>
    <t>רוחאנא</t>
  </si>
  <si>
    <t>רשא</t>
  </si>
  <si>
    <t>שעתית</t>
  </si>
  <si>
    <t>מזיד</t>
  </si>
  <si>
    <t>עיר ללא אלימות</t>
  </si>
  <si>
    <t>דבור</t>
  </si>
  <si>
    <t>חסן</t>
  </si>
  <si>
    <t>זאהר</t>
  </si>
  <si>
    <t>נילי</t>
  </si>
  <si>
    <t xml:space="preserve">מנהלת עיר ללא אלימות </t>
  </si>
  <si>
    <t>אסף</t>
  </si>
  <si>
    <t>דיין</t>
  </si>
  <si>
    <t>מנהל יחידת נוער</t>
  </si>
  <si>
    <t>סראיאלדין</t>
  </si>
  <si>
    <t>מוקדי הפעלת נוער</t>
  </si>
  <si>
    <t>מורה הפעלת נוער</t>
  </si>
  <si>
    <t>מעג"ן</t>
  </si>
  <si>
    <t>נטור</t>
  </si>
  <si>
    <t>אינאס</t>
  </si>
  <si>
    <t>ספורט</t>
  </si>
  <si>
    <t>מנהל מחלקת ספורט</t>
  </si>
  <si>
    <t>אניס</t>
  </si>
  <si>
    <t>אחזקת אולם ספורט</t>
  </si>
  <si>
    <t>סאבא</t>
  </si>
  <si>
    <t>חוסני</t>
  </si>
  <si>
    <t>אחזקת מגרש כדורגל</t>
  </si>
  <si>
    <t>סועאד</t>
  </si>
  <si>
    <t>תחנת אם וילד</t>
  </si>
  <si>
    <t>עובדת ניקיון</t>
  </si>
  <si>
    <t>חרמאן</t>
  </si>
  <si>
    <t>פרידה</t>
  </si>
  <si>
    <t>אחות</t>
  </si>
  <si>
    <t>מחרז</t>
  </si>
  <si>
    <t>זאידה</t>
  </si>
  <si>
    <t>אנשראח</t>
  </si>
  <si>
    <t>מוסדות דת</t>
  </si>
  <si>
    <t>עלא</t>
  </si>
  <si>
    <t>משק מים</t>
  </si>
  <si>
    <t>אחזקה מים</t>
  </si>
  <si>
    <t>זיד</t>
  </si>
  <si>
    <t>נזיה</t>
  </si>
  <si>
    <t>עאמר</t>
  </si>
  <si>
    <t>רכאב</t>
  </si>
  <si>
    <t>סיאח</t>
  </si>
  <si>
    <t>שומרי</t>
  </si>
  <si>
    <t>פאדי</t>
  </si>
  <si>
    <t>נאהית</t>
  </si>
  <si>
    <t>וידאד</t>
  </si>
  <si>
    <t>ניהאד</t>
  </si>
  <si>
    <t>זקייה</t>
  </si>
  <si>
    <t>חמזה</t>
  </si>
  <si>
    <t>חסיב</t>
  </si>
  <si>
    <t>גבר</t>
  </si>
  <si>
    <t>אבותמימי</t>
  </si>
  <si>
    <t>טפלה</t>
  </si>
  <si>
    <t>נגיה</t>
  </si>
  <si>
    <t>סאלחה</t>
  </si>
  <si>
    <t>דהוד</t>
  </si>
  <si>
    <t>איוב</t>
  </si>
  <si>
    <t>פאיז</t>
  </si>
  <si>
    <t>עפיפה</t>
  </si>
  <si>
    <t>מרטה</t>
  </si>
  <si>
    <t>עסאם</t>
  </si>
  <si>
    <t>זהראלדין</t>
  </si>
  <si>
    <t>הדיה</t>
  </si>
  <si>
    <t>אינסאף</t>
  </si>
  <si>
    <t>טויל</t>
  </si>
  <si>
    <t>עבדאלקרים</t>
  </si>
  <si>
    <t>אדיב</t>
  </si>
  <si>
    <t>ודיעה</t>
  </si>
  <si>
    <t>מועין</t>
  </si>
  <si>
    <t>לאלא</t>
  </si>
  <si>
    <t>אלהאם</t>
  </si>
  <si>
    <t>מונירה</t>
  </si>
  <si>
    <t>נאדיה</t>
  </si>
  <si>
    <t>קנג</t>
  </si>
  <si>
    <t>נדה</t>
  </si>
  <si>
    <t>זוהיר</t>
  </si>
  <si>
    <t>נגם</t>
  </si>
  <si>
    <t>מחמודה</t>
  </si>
  <si>
    <t>דוחי</t>
  </si>
  <si>
    <t>תרייה</t>
  </si>
  <si>
    <t>עבוד</t>
  </si>
  <si>
    <t>מונתהא</t>
  </si>
  <si>
    <t>דינה</t>
  </si>
  <si>
    <t>פואד</t>
  </si>
  <si>
    <t>דאהש</t>
  </si>
  <si>
    <t>חסין</t>
  </si>
  <si>
    <t>קנוע</t>
  </si>
  <si>
    <t>פוזיה</t>
  </si>
  <si>
    <t>פרו</t>
  </si>
  <si>
    <t>חליל</t>
  </si>
  <si>
    <t>קונטאר</t>
  </si>
  <si>
    <t>חמוד</t>
  </si>
  <si>
    <t>זכי</t>
  </si>
  <si>
    <t>מלכה</t>
  </si>
  <si>
    <t>סאמיה</t>
  </si>
  <si>
    <t>גקלין</t>
  </si>
  <si>
    <t>חלווה</t>
  </si>
  <si>
    <t>עפיף</t>
  </si>
  <si>
    <t xml:space="preserve">פנסיונירים </t>
  </si>
  <si>
    <t>מיניצופלי</t>
  </si>
  <si>
    <t>פרוט    ההכנסה</t>
  </si>
  <si>
    <t>הצעת תקציב</t>
  </si>
  <si>
    <t>ה ס ע י ף</t>
  </si>
  <si>
    <t>ארנונה כללית למגורים שוטף</t>
  </si>
  <si>
    <t>ארנונה פיגורים</t>
  </si>
  <si>
    <t xml:space="preserve">ארנונה כללית    </t>
  </si>
  <si>
    <t>הנחות ארנונה לזכאים</t>
  </si>
  <si>
    <t>הכנסות במקום ארנונה</t>
  </si>
  <si>
    <t>סה"כ 11</t>
  </si>
  <si>
    <t>תעודות ואישורים</t>
  </si>
  <si>
    <t>סה"כ 12</t>
  </si>
  <si>
    <t>מענקים כללים השתתפות מש פנים</t>
  </si>
  <si>
    <t>מענק מותנה</t>
  </si>
  <si>
    <t xml:space="preserve">מענק מיוחד משרד פנים </t>
  </si>
  <si>
    <t>סה"כ  19</t>
  </si>
  <si>
    <t xml:space="preserve">סה"כ 1 </t>
  </si>
  <si>
    <t>מיסים ומענק כללי</t>
  </si>
  <si>
    <t>הכנסות פינוי אתר אשפה</t>
  </si>
  <si>
    <t>שילוט עסקים</t>
  </si>
  <si>
    <t>מלחמה בכלבת ופיקוח וטרינרי</t>
  </si>
  <si>
    <t>סה"כ  21</t>
  </si>
  <si>
    <t>שרות וטרינרי</t>
  </si>
  <si>
    <t>החזר הוצאות אכיפה</t>
  </si>
  <si>
    <t>הכנסות מגבייה משפטית</t>
  </si>
  <si>
    <t>מענק משרד פנים תמריץ תוכניות בנייה</t>
  </si>
  <si>
    <t>אגרות בניה - רכס הכרמל</t>
  </si>
  <si>
    <t>השתתפות קרן היטל השבחה במחלקת הנדסה</t>
  </si>
  <si>
    <t>סה"כ  23</t>
  </si>
  <si>
    <t xml:space="preserve">סה"כ תכנון ובנין העיר </t>
  </si>
  <si>
    <t>הכנסות משכירות לבזק</t>
  </si>
  <si>
    <t>הרשות הלאומית לבטיחות בדרכים</t>
  </si>
  <si>
    <t>סה"כ  24</t>
  </si>
  <si>
    <t xml:space="preserve">הכנסות שונות/השתתפות </t>
  </si>
  <si>
    <t>הכנסות מכרזים</t>
  </si>
  <si>
    <t>הכנסות אחרות</t>
  </si>
  <si>
    <t>החזר חלוקה שלטון מקומי</t>
  </si>
  <si>
    <t>החזר פלאפון עובדי מועצה</t>
  </si>
  <si>
    <t>סה"כ  26</t>
  </si>
  <si>
    <t>סה"כ הכנסות שונות</t>
  </si>
  <si>
    <t>שרותים מקומיים</t>
  </si>
  <si>
    <t xml:space="preserve">פרויקטים שונים מחלקת חינוך </t>
  </si>
  <si>
    <t>שיפוצים ממשרד חינוך</t>
  </si>
  <si>
    <t>שכר דירה חינוך</t>
  </si>
  <si>
    <t>סה"כ 311</t>
  </si>
  <si>
    <t>סה"כ מינהל חינוך</t>
  </si>
  <si>
    <t>אגרות שכפול - יוח"א</t>
  </si>
  <si>
    <t>תשלומי הורים חומרים</t>
  </si>
  <si>
    <t xml:space="preserve"> גני ילדים  יוח"א ומיל"ת השתתפות הורים</t>
  </si>
  <si>
    <t>שכ"ל גנ"י קדם חובה</t>
  </si>
  <si>
    <t>גננות עuובדות מדינה</t>
  </si>
  <si>
    <t>חוק שילוב סייעות</t>
  </si>
  <si>
    <t xml:space="preserve">סייעות 2 והעשרה רשמי </t>
  </si>
  <si>
    <t>הטף והאתגר פעילות</t>
  </si>
  <si>
    <t>תוכנית אור</t>
  </si>
  <si>
    <t>נוער בסיכון במרחב הפתוח-יחידת נוער</t>
  </si>
  <si>
    <t>דמי שתיה</t>
  </si>
  <si>
    <t>תוכנית ראשית - תוכנית לאומית</t>
  </si>
  <si>
    <t>העשרה חנ"מ גני דרוזים</t>
  </si>
  <si>
    <t>סה"כ 312</t>
  </si>
  <si>
    <t>חינוך קדם יסודי</t>
  </si>
  <si>
    <t>ניהול עצמי משופר א-ו</t>
  </si>
  <si>
    <t>עובד סיוע א-ח</t>
  </si>
  <si>
    <t>תוספת דפרנציאל נ.עצמי</t>
  </si>
  <si>
    <t>תוספת סייעות יוח"א</t>
  </si>
  <si>
    <t>גמול מנהליות ניהול עצמי</t>
  </si>
  <si>
    <t>החזר תלמידי חוץ דליה</t>
  </si>
  <si>
    <t>שרתים</t>
  </si>
  <si>
    <t>שרתים יסודי יוח"א</t>
  </si>
  <si>
    <t>מתי"א שרתים</t>
  </si>
  <si>
    <t>מנב"ס מזכירים</t>
  </si>
  <si>
    <t>מזכירים יסודיים חינוך מיוחד</t>
  </si>
  <si>
    <t>מזכירים יסודי יוח"א</t>
  </si>
  <si>
    <t>מזכירים מתי"א</t>
  </si>
  <si>
    <t xml:space="preserve">מתי"א הצטיידות </t>
  </si>
  <si>
    <t xml:space="preserve">תשלום הורים חומרים ומלאכה </t>
  </si>
  <si>
    <t>סייעות כיתתיות</t>
  </si>
  <si>
    <t xml:space="preserve">סייעות רפואיות </t>
  </si>
  <si>
    <t xml:space="preserve">סייעות כיתתית ב"ס </t>
  </si>
  <si>
    <t>ליווי הסעות ח.מיוחד</t>
  </si>
  <si>
    <t>קייטנות השתתפות משרד חינוך</t>
  </si>
  <si>
    <t xml:space="preserve">סל תלמיד לחט"ב </t>
  </si>
  <si>
    <t>חטיבות ביניים/השתתפות מש</t>
  </si>
  <si>
    <t>תיכון אלאשראק מורים</t>
  </si>
  <si>
    <t>תיכון אלאשראק</t>
  </si>
  <si>
    <t>השתתפות משטרת ישראל בביטחון בתי ספר</t>
  </si>
  <si>
    <t>קבטי"ם</t>
  </si>
  <si>
    <t>מניעת נשירה</t>
  </si>
  <si>
    <t>ה. נלוות ח. מיוחד דרוזי</t>
  </si>
  <si>
    <t>השתתפות ציוד פסג"ה</t>
  </si>
  <si>
    <t>פסיכולוגים-חינוכיים</t>
  </si>
  <si>
    <t>שפ"י - שעות הדרכה</t>
  </si>
  <si>
    <t>מועדוניות השתתפות משרד חינוך</t>
  </si>
  <si>
    <t>קבסי"ם</t>
  </si>
  <si>
    <t>הסעות</t>
  </si>
  <si>
    <t>הסעות חינוך מיוחד</t>
  </si>
  <si>
    <t xml:space="preserve">הכנסות רווחה חינוכית </t>
  </si>
  <si>
    <t>אחזקת ילדי צד"ל</t>
  </si>
  <si>
    <t>חותם</t>
  </si>
  <si>
    <t>317-319</t>
  </si>
  <si>
    <t>סה"כ 31</t>
  </si>
  <si>
    <t>הכנסות תרבות - משרד התרבות</t>
  </si>
  <si>
    <t>עיר ללא אלימות - משרד ביטחון</t>
  </si>
  <si>
    <t>הכנסות מתנס חוגים</t>
  </si>
  <si>
    <t>סה"כ מוקדי תרבות ונוער</t>
  </si>
  <si>
    <t>ספורט/השתתפות תושבים ועמותות</t>
  </si>
  <si>
    <t xml:space="preserve">הכנסות ספורט  -משרד הספורט </t>
  </si>
  <si>
    <t>סה"כ 32</t>
  </si>
  <si>
    <t>סה"כ תרבות וספורט</t>
  </si>
  <si>
    <t>מינהל הרווחה</t>
  </si>
  <si>
    <t>סה"כ 341</t>
  </si>
  <si>
    <t>מקלט לנשים מוכות</t>
  </si>
  <si>
    <t>משפחות במצוקה</t>
  </si>
  <si>
    <t>מגזר דרוזי-פרט ומשפחה</t>
  </si>
  <si>
    <t>סה"כ 342</t>
  </si>
  <si>
    <t>רווחת הפרט והמשפחה</t>
  </si>
  <si>
    <t>ת. לאומית ילד ונוער-</t>
  </si>
  <si>
    <t>טיפול במשפחות אומנה</t>
  </si>
  <si>
    <t>טיפל בילד בקהילה</t>
  </si>
  <si>
    <t>מועדוניות משותפות</t>
  </si>
  <si>
    <t>אחזקת ילדים בפנימיות</t>
  </si>
  <si>
    <t>אחזקת ילדים במעונות יום</t>
  </si>
  <si>
    <t>סה"כ 343</t>
  </si>
  <si>
    <t>שרותים לילד ולנוער</t>
  </si>
  <si>
    <t>אחזקה במעונות אזרח ותיק</t>
  </si>
  <si>
    <t>מועדונים אזרח ותיק</t>
  </si>
  <si>
    <t>שכונה תומכת</t>
  </si>
  <si>
    <t>טיפול בקהילה אזרח ותיק</t>
  </si>
  <si>
    <t>מגזר דרוזי לזקן</t>
  </si>
  <si>
    <t>מרכזי ועדות חוקיות</t>
  </si>
  <si>
    <t>מסגרות יומיות לזקן</t>
  </si>
  <si>
    <t>מועדונים מועשרים</t>
  </si>
  <si>
    <t>סה"כ 344</t>
  </si>
  <si>
    <t>שרותים לזקן</t>
  </si>
  <si>
    <t xml:space="preserve">סידור מעונות מש"ה </t>
  </si>
  <si>
    <t>מעון ממשלתי - מש"ה</t>
  </si>
  <si>
    <t>טיפול בהורים וילדיהם</t>
  </si>
  <si>
    <t>מ.יום טיפולי - מש"ה</t>
  </si>
  <si>
    <t>מע"שים</t>
  </si>
  <si>
    <t>מע"שים ילדי חוץ</t>
  </si>
  <si>
    <t>הסעות למעון יום מש"ה</t>
  </si>
  <si>
    <t>נופשונים  מש"ה</t>
  </si>
  <si>
    <t>שירותים תומכים מש"ה -קייטנות</t>
  </si>
  <si>
    <t>סה"כ  345</t>
  </si>
  <si>
    <t>שרותים למפגר</t>
  </si>
  <si>
    <t>תוכניות מעבר</t>
  </si>
  <si>
    <t>מעון יום שיקומי</t>
  </si>
  <si>
    <t>הסעות למעון יום שיקומי</t>
  </si>
  <si>
    <t xml:space="preserve">ליווי למ.יום שיקומי </t>
  </si>
  <si>
    <t>מרכזי אבחון ושיקום נכים-</t>
  </si>
  <si>
    <t>סה"כ  346</t>
  </si>
  <si>
    <t>סה"כ שירותי שקום</t>
  </si>
  <si>
    <t>טיפול בנוער וצעירים</t>
  </si>
  <si>
    <t xml:space="preserve">בתים חמים </t>
  </si>
  <si>
    <t>מ. לנפגעי תקיפה מינית</t>
  </si>
  <si>
    <t>התמכריות מבוגרים</t>
  </si>
  <si>
    <t xml:space="preserve">סה"כ 347 </t>
  </si>
  <si>
    <t xml:space="preserve">שרותי תיקון </t>
  </si>
  <si>
    <t>משפחה וקהילה דרוזים ועוצמה</t>
  </si>
  <si>
    <t xml:space="preserve">סה"כ 34 </t>
  </si>
  <si>
    <t xml:space="preserve">הכנסות תאגיד תמיר </t>
  </si>
  <si>
    <t xml:space="preserve">תפעול יחידה סביבתית - </t>
  </si>
  <si>
    <t>סה"כ 37</t>
  </si>
  <si>
    <t>אגרות מים (צריכה/אגרות מים</t>
  </si>
  <si>
    <t>היטל צריכה עודפת</t>
  </si>
  <si>
    <t>אגרות מים פיגורים</t>
  </si>
  <si>
    <t>אגרת הנחת צנרת שוטף</t>
  </si>
  <si>
    <t>אגרת הנחת צנרת פיגורים</t>
  </si>
  <si>
    <t>ביוב עירוני אגרות שוטף</t>
  </si>
  <si>
    <t>ביוב עירוני/אגרות בגין שנים קודמות</t>
  </si>
  <si>
    <t>היטל ביוב שוטף</t>
  </si>
  <si>
    <t>היטל ביוב פיגורים</t>
  </si>
  <si>
    <t xml:space="preserve">החזר ריבית </t>
  </si>
  <si>
    <t xml:space="preserve">החזר הוצאות ושנים קודמות </t>
  </si>
  <si>
    <t>הכנסות שנים קודמות</t>
  </si>
  <si>
    <t>מענקים תוכנית הבראה</t>
  </si>
  <si>
    <t>הכנסות ממחזור מלוות</t>
  </si>
  <si>
    <t>סה"כ  5</t>
  </si>
  <si>
    <t>מס' עובדים</t>
  </si>
  <si>
    <t>משרה 2017</t>
  </si>
  <si>
    <t>סה"כ שכר ראש המועצה</t>
  </si>
  <si>
    <t>סה"כ לשכת ראש המועצה</t>
  </si>
  <si>
    <t>סה"כ מבקר המועצה</t>
  </si>
  <si>
    <t xml:space="preserve">שרוף </t>
  </si>
  <si>
    <t>מזכיר</t>
  </si>
  <si>
    <t>עמאשה</t>
  </si>
  <si>
    <t>רימא</t>
  </si>
  <si>
    <t>מזכירת מזכיר</t>
  </si>
  <si>
    <t>סה"כ מזכיר המועצה</t>
  </si>
  <si>
    <t>אוסנת</t>
  </si>
  <si>
    <t>מוקד</t>
  </si>
  <si>
    <t>אבו פחר</t>
  </si>
  <si>
    <t xml:space="preserve">ניקיון </t>
  </si>
  <si>
    <t>מוסטפא</t>
  </si>
  <si>
    <t>מחסנה</t>
  </si>
  <si>
    <t>סה"כ שכר אגף מינהל</t>
  </si>
  <si>
    <t>סה"כ שכר ניקיון אגף מינהל</t>
  </si>
  <si>
    <t>סה"כ שכר גזברית</t>
  </si>
  <si>
    <t>חשב שכר</t>
  </si>
  <si>
    <t xml:space="preserve">סה"כ שכר חשב שכר </t>
  </si>
  <si>
    <t>מנהל</t>
  </si>
  <si>
    <t>קופאית ראשית</t>
  </si>
  <si>
    <t>דיאנה</t>
  </si>
  <si>
    <t>סה"כ שכר גביה</t>
  </si>
  <si>
    <t>סה"כ שכר תברואה</t>
  </si>
  <si>
    <t>מראד</t>
  </si>
  <si>
    <t>טיאוט רחובות</t>
  </si>
  <si>
    <t>סה"כ שכר טיאוט רחובות</t>
  </si>
  <si>
    <t>פקח איכות  סביבה</t>
  </si>
  <si>
    <t>שומר תחנת מעבר</t>
  </si>
  <si>
    <t xml:space="preserve">תקן </t>
  </si>
  <si>
    <t>רישוי עסקים ותברואה</t>
  </si>
  <si>
    <t>סה"כ רישוי עסקים</t>
  </si>
  <si>
    <t>סה"כ שירות וטרינרי</t>
  </si>
  <si>
    <t xml:space="preserve">בשארה </t>
  </si>
  <si>
    <t>מארון</t>
  </si>
  <si>
    <t>סופיה</t>
  </si>
  <si>
    <t>סה"כ מחלקת הנדסה</t>
  </si>
  <si>
    <t>אחזקה וניקיון מתנ"ס</t>
  </si>
  <si>
    <t>מחסן</t>
  </si>
  <si>
    <t>סה"כ אחזקת נכסים ציבוריים</t>
  </si>
  <si>
    <t>סה"כ ספריה ציבורית</t>
  </si>
  <si>
    <t xml:space="preserve">עובד </t>
  </si>
  <si>
    <t>מנהל תרבות ומתנס</t>
  </si>
  <si>
    <t>סה"כ מתנ"ס</t>
  </si>
  <si>
    <t>סה"כ גיל רך</t>
  </si>
  <si>
    <t>וחיד</t>
  </si>
  <si>
    <t>מנהלת עיר ללא אלימות</t>
  </si>
  <si>
    <t xml:space="preserve">הלון </t>
  </si>
  <si>
    <t>מדריך ספורט ופנאי</t>
  </si>
  <si>
    <t>סה"כ עיר ללא אלימות</t>
  </si>
  <si>
    <t>אבו סעדה</t>
  </si>
  <si>
    <t>אליזה</t>
  </si>
  <si>
    <t>נקיון אולם ספורט</t>
  </si>
  <si>
    <t>סה"כ מחלקת ספורט</t>
  </si>
  <si>
    <t>סה"כ תחנת אם וילד</t>
  </si>
  <si>
    <t>אחזקת מים</t>
  </si>
  <si>
    <t>סה"כ מחלקת מים</t>
  </si>
  <si>
    <t>זיידה</t>
  </si>
  <si>
    <t>אליס</t>
  </si>
  <si>
    <t>בהיה</t>
  </si>
  <si>
    <t>אחלאם</t>
  </si>
  <si>
    <t>הנא</t>
  </si>
  <si>
    <t>מונא</t>
  </si>
  <si>
    <t xml:space="preserve">מנסור </t>
  </si>
  <si>
    <t>מדינה</t>
  </si>
  <si>
    <t>אסד</t>
  </si>
  <si>
    <t>עובדים לפנסיה</t>
  </si>
  <si>
    <t>סמר</t>
  </si>
  <si>
    <t>אלעלי</t>
  </si>
  <si>
    <t>סמירה</t>
  </si>
  <si>
    <t>ליא</t>
  </si>
  <si>
    <t>לילאוי</t>
  </si>
  <si>
    <t>אבורוכן</t>
  </si>
  <si>
    <t>שריפה</t>
  </si>
  <si>
    <t>דאמן</t>
  </si>
  <si>
    <t>גוליה</t>
  </si>
  <si>
    <t>עובדים</t>
  </si>
  <si>
    <t>סה"כ פנסיה</t>
  </si>
  <si>
    <t>סה"כ מוניציפלי</t>
  </si>
  <si>
    <t>שם משפחה</t>
  </si>
  <si>
    <t>סעיף</t>
  </si>
  <si>
    <t>מקום עבודה</t>
  </si>
  <si>
    <t>תפקיד</t>
  </si>
  <si>
    <t>תקן</t>
  </si>
  <si>
    <t>שנת 2016</t>
  </si>
  <si>
    <t>תקן 2017</t>
  </si>
  <si>
    <t>שנת 2017</t>
  </si>
  <si>
    <t>תקן 2018</t>
  </si>
  <si>
    <t>שנת 2018</t>
  </si>
  <si>
    <t>מ.מ מנהל מחלקת חינוך</t>
  </si>
  <si>
    <t>מזכירה ראשית</t>
  </si>
  <si>
    <t>מזכירה חינוך</t>
  </si>
  <si>
    <t xml:space="preserve">כיוף </t>
  </si>
  <si>
    <t>גוהינה</t>
  </si>
  <si>
    <t>גני ילדים</t>
  </si>
  <si>
    <t>סייעת</t>
  </si>
  <si>
    <t>מוראד</t>
  </si>
  <si>
    <t>כמיליא</t>
  </si>
  <si>
    <t>סוזן</t>
  </si>
  <si>
    <t>תגריד</t>
  </si>
  <si>
    <t>נסראלדין</t>
  </si>
  <si>
    <t>סולטאנה</t>
  </si>
  <si>
    <t>עטאף</t>
  </si>
  <si>
    <t>סעב</t>
  </si>
  <si>
    <t>חנאן</t>
  </si>
  <si>
    <t>סיף</t>
  </si>
  <si>
    <t>היא</t>
  </si>
  <si>
    <t>עטילה</t>
  </si>
  <si>
    <t>עביר</t>
  </si>
  <si>
    <t>קסראוי</t>
  </si>
  <si>
    <t>נוהא</t>
  </si>
  <si>
    <t>חמדאן</t>
  </si>
  <si>
    <t>עזה</t>
  </si>
  <si>
    <t>אחמדיה</t>
  </si>
  <si>
    <t>כעביה</t>
  </si>
  <si>
    <t>וופא</t>
  </si>
  <si>
    <t>רחאב</t>
  </si>
  <si>
    <t>מלוק</t>
  </si>
  <si>
    <t>שירין</t>
  </si>
  <si>
    <t>משלין</t>
  </si>
  <si>
    <t>סייעת שניה</t>
  </si>
  <si>
    <t>גוטאני</t>
  </si>
  <si>
    <t>נגאת</t>
  </si>
  <si>
    <t>קוזלי</t>
  </si>
  <si>
    <t xml:space="preserve">אסעד </t>
  </si>
  <si>
    <t>רוידה</t>
  </si>
  <si>
    <t>הודא</t>
  </si>
  <si>
    <t>אבו שאהין</t>
  </si>
  <si>
    <t>סמיחה</t>
  </si>
  <si>
    <t>אנעאם</t>
  </si>
  <si>
    <t>גני ילדים-יוח"א</t>
  </si>
  <si>
    <t>אמירה</t>
  </si>
  <si>
    <t xml:space="preserve">אסד </t>
  </si>
  <si>
    <t>חיכאם</t>
  </si>
  <si>
    <t>האלה</t>
  </si>
  <si>
    <t>גני ילדים-מיל"ת</t>
  </si>
  <si>
    <t>גאדה</t>
  </si>
  <si>
    <t>גני ילדים-צמודה</t>
  </si>
  <si>
    <t>שרה</t>
  </si>
  <si>
    <t>גני ילדים - מיל"ת</t>
  </si>
  <si>
    <t>ענאיה</t>
  </si>
  <si>
    <t xml:space="preserve">סייעת </t>
  </si>
  <si>
    <t>אבו ראיד</t>
  </si>
  <si>
    <t>ראיה</t>
  </si>
  <si>
    <t>גני ילדים יוח"א</t>
  </si>
  <si>
    <t>סחר</t>
  </si>
  <si>
    <t>גני ילדים מיל"ת</t>
  </si>
  <si>
    <t>חיר</t>
  </si>
  <si>
    <t>עדבה</t>
  </si>
  <si>
    <t>אסעד חטום</t>
  </si>
  <si>
    <t>חתאם</t>
  </si>
  <si>
    <t>ממלאת מקום</t>
  </si>
  <si>
    <t>והב</t>
  </si>
  <si>
    <t>רחיל</t>
  </si>
  <si>
    <t>סה"כ סייעות יוח"א ומיל"ת</t>
  </si>
  <si>
    <t>עובד</t>
  </si>
  <si>
    <t>הטף והאתג"ר</t>
  </si>
  <si>
    <t xml:space="preserve">מדריכה </t>
  </si>
  <si>
    <t>מרח</t>
  </si>
  <si>
    <t xml:space="preserve">סה"כ הטף ואתגר </t>
  </si>
  <si>
    <t>פדול</t>
  </si>
  <si>
    <t>חינוך מיוחד-גן טיפולי</t>
  </si>
  <si>
    <t>סייעת אם</t>
  </si>
  <si>
    <t>ענת</t>
  </si>
  <si>
    <t>סאריה</t>
  </si>
  <si>
    <t>סייעת צמודה</t>
  </si>
  <si>
    <t>סה"כ חינוך מיוחד גן טיפולי</t>
  </si>
  <si>
    <t>מרכז יישובי</t>
  </si>
  <si>
    <t>תוכנית לאומית</t>
  </si>
  <si>
    <t>נבילה</t>
  </si>
  <si>
    <t>ואאם</t>
  </si>
  <si>
    <t>אבו פארס</t>
  </si>
  <si>
    <t>כאמלה</t>
  </si>
  <si>
    <t>סה"כ מרכזי נוער - תוכנית לאומית</t>
  </si>
  <si>
    <t>חדשים</t>
  </si>
  <si>
    <t>אומניה</t>
  </si>
  <si>
    <t>סה"כ תוכנית אור - תוכנית לאומית</t>
  </si>
  <si>
    <t>יחידת נוער</t>
  </si>
  <si>
    <t>חוק נוער</t>
  </si>
  <si>
    <t>סה"כ יחדת נוער</t>
  </si>
  <si>
    <t>ויאם</t>
  </si>
  <si>
    <t>משאבי התמודדות</t>
  </si>
  <si>
    <t>שונים</t>
  </si>
  <si>
    <t>ש"ש</t>
  </si>
  <si>
    <t>סה"כ טיפול בהורים</t>
  </si>
  <si>
    <t>יסודי א</t>
  </si>
  <si>
    <t xml:space="preserve">האני </t>
  </si>
  <si>
    <t>בית ספר ב</t>
  </si>
  <si>
    <t>נסראת</t>
  </si>
  <si>
    <t>יסודי ג</t>
  </si>
  <si>
    <t>סה"כ שרתים בתי ספר יסודי</t>
  </si>
  <si>
    <t>סנא</t>
  </si>
  <si>
    <t>נעמת</t>
  </si>
  <si>
    <t>סברין</t>
  </si>
  <si>
    <t>יסודי ב</t>
  </si>
  <si>
    <t>עתאב</t>
  </si>
  <si>
    <t>אכאבר</t>
  </si>
  <si>
    <t>אלאשראק</t>
  </si>
  <si>
    <t xml:space="preserve">מזכירה </t>
  </si>
  <si>
    <t>עפאף</t>
  </si>
  <si>
    <t>סה"כ מזכירות יסודי</t>
  </si>
  <si>
    <t>אבועאסי</t>
  </si>
  <si>
    <t>בית ספר א</t>
  </si>
  <si>
    <t>דאליה</t>
  </si>
  <si>
    <t xml:space="preserve">פרו </t>
  </si>
  <si>
    <t>סעדה</t>
  </si>
  <si>
    <t>אמאל</t>
  </si>
  <si>
    <t xml:space="preserve">מילוי </t>
  </si>
  <si>
    <t>מקום</t>
  </si>
  <si>
    <t>אסתר</t>
  </si>
  <si>
    <t>רודיינה</t>
  </si>
  <si>
    <t>נינה</t>
  </si>
  <si>
    <t>הנייה</t>
  </si>
  <si>
    <t>חלאוה</t>
  </si>
  <si>
    <t>בית ספר ג</t>
  </si>
  <si>
    <t>ופיקה</t>
  </si>
  <si>
    <t>עאידה</t>
  </si>
  <si>
    <t>אילנה</t>
  </si>
  <si>
    <t>נזירה</t>
  </si>
  <si>
    <t>מייסון</t>
  </si>
  <si>
    <t>שכידם</t>
  </si>
  <si>
    <t>נסרין</t>
  </si>
  <si>
    <t>אסמה</t>
  </si>
  <si>
    <t>סה"כ עובדות ניקיון בתי ספר יסודי</t>
  </si>
  <si>
    <t>אחות בתי ספר</t>
  </si>
  <si>
    <t>סה"כ אחות בתי ספר</t>
  </si>
  <si>
    <t>חינוך מיוחד</t>
  </si>
  <si>
    <t>נסאר</t>
  </si>
  <si>
    <t>סייעת כיתתית בית ספר ב</t>
  </si>
  <si>
    <t>חסון</t>
  </si>
  <si>
    <t>אליסאר</t>
  </si>
  <si>
    <t>ניבאל</t>
  </si>
  <si>
    <t>סייעת כיתתית ותגבור א</t>
  </si>
  <si>
    <t>סייעת כיתתית חט"ב</t>
  </si>
  <si>
    <t>סוהילה</t>
  </si>
  <si>
    <t>אולפת</t>
  </si>
  <si>
    <t>סייעת כיתתית א</t>
  </si>
  <si>
    <t xml:space="preserve">סויטאת </t>
  </si>
  <si>
    <t>בסמה</t>
  </si>
  <si>
    <t>אבו סעד</t>
  </si>
  <si>
    <t>רביעה</t>
  </si>
  <si>
    <t>סה"כ סייעות כיתתיות ותגבור חינוך מיוחד</t>
  </si>
  <si>
    <t>רודינה</t>
  </si>
  <si>
    <t>ממלא</t>
  </si>
  <si>
    <t>סהאם</t>
  </si>
  <si>
    <t>קיואן</t>
  </si>
  <si>
    <t>מייסר</t>
  </si>
  <si>
    <t>היפא</t>
  </si>
  <si>
    <t>סייעת צמודה +ליווי הסעה</t>
  </si>
  <si>
    <t>ראוי</t>
  </si>
  <si>
    <t>לואי</t>
  </si>
  <si>
    <t>אסאלה</t>
  </si>
  <si>
    <t>מייסם</t>
  </si>
  <si>
    <t>פדאא</t>
  </si>
  <si>
    <t>סוהיר</t>
  </si>
  <si>
    <t>ליאל</t>
  </si>
  <si>
    <t>סרינה</t>
  </si>
  <si>
    <t>סה"כ ליווי הסעות</t>
  </si>
  <si>
    <t>אימאן</t>
  </si>
  <si>
    <t>חט"ב</t>
  </si>
  <si>
    <t>שלח</t>
  </si>
  <si>
    <t>רכאד</t>
  </si>
  <si>
    <t>סיואר</t>
  </si>
  <si>
    <t>אחסאן</t>
  </si>
  <si>
    <t>פלאח</t>
  </si>
  <si>
    <t>אב בית</t>
  </si>
  <si>
    <t>ראיק</t>
  </si>
  <si>
    <t>יולנד</t>
  </si>
  <si>
    <t xml:space="preserve">חט"ב </t>
  </si>
  <si>
    <t>דאניה</t>
  </si>
  <si>
    <t>חט"ב אלאשראק</t>
  </si>
  <si>
    <t>בדריה</t>
  </si>
  <si>
    <t>היאם</t>
  </si>
  <si>
    <t xml:space="preserve">שומרי </t>
  </si>
  <si>
    <t>סה"כ עובדי חטיבת ביניים</t>
  </si>
  <si>
    <t xml:space="preserve">מורים </t>
  </si>
  <si>
    <t>תיכון</t>
  </si>
  <si>
    <t>סה"כ מורים תיכון אלאשראק</t>
  </si>
  <si>
    <t>מוסדות חינוך</t>
  </si>
  <si>
    <t>סה"כ קב"ט</t>
  </si>
  <si>
    <t>פרויקט מניעת נשירה</t>
  </si>
  <si>
    <t>אמאליה</t>
  </si>
  <si>
    <t>פסג"ה</t>
  </si>
  <si>
    <t>סה"כ שכר פסגה</t>
  </si>
  <si>
    <t>אלטורי</t>
  </si>
  <si>
    <t>נלי</t>
  </si>
  <si>
    <t>שירות פסיכולוגי</t>
  </si>
  <si>
    <t>פסיכולוג</t>
  </si>
  <si>
    <t>סופי</t>
  </si>
  <si>
    <t>ערטול</t>
  </si>
  <si>
    <t>איימן</t>
  </si>
  <si>
    <t>מוחסן</t>
  </si>
  <si>
    <t>ראסם</t>
  </si>
  <si>
    <t>נגאר</t>
  </si>
  <si>
    <t>כמיל</t>
  </si>
  <si>
    <t>סלמה</t>
  </si>
  <si>
    <t>שיבאן</t>
  </si>
  <si>
    <t>פירוז</t>
  </si>
  <si>
    <t xml:space="preserve">מרעי </t>
  </si>
  <si>
    <t>סה"כ שירות פסיכולוגי</t>
  </si>
  <si>
    <t>מעדונית ח. משותפת</t>
  </si>
  <si>
    <t>סה"כ מעדונית חינוכית</t>
  </si>
  <si>
    <t>ראניה</t>
  </si>
  <si>
    <t>קב"ס משני</t>
  </si>
  <si>
    <t>סה"כ קב"ס</t>
  </si>
  <si>
    <t>רווחה חינוכית</t>
  </si>
  <si>
    <t>רווחה חינוכית אגף שחר</t>
  </si>
  <si>
    <t xml:space="preserve">מתי"א </t>
  </si>
  <si>
    <t>מהא</t>
  </si>
  <si>
    <t>סה"כ  מתי"א</t>
  </si>
  <si>
    <t>סה"כ קידום נוער</t>
  </si>
  <si>
    <t>תקציב שנת 2016</t>
  </si>
  <si>
    <t>תקציב שנת 2017</t>
  </si>
  <si>
    <t>אבוגאזי</t>
  </si>
  <si>
    <t>נגלא</t>
  </si>
  <si>
    <t>מנהלת לשכת רווחה</t>
  </si>
  <si>
    <t xml:space="preserve">עו"ס מנהלת לשכת רווחה </t>
  </si>
  <si>
    <t>שאדיה</t>
  </si>
  <si>
    <t xml:space="preserve">עו"ס נוער וצעירים </t>
  </si>
  <si>
    <t>עו"ס נוער וצעירים</t>
  </si>
  <si>
    <t>מעדוניות פעולות משותפות</t>
  </si>
  <si>
    <t>עו"ס מעדוניות פעולות משותפות</t>
  </si>
  <si>
    <t xml:space="preserve">מעדונית משותפת </t>
  </si>
  <si>
    <t>עו"ס שיקום ונכים</t>
  </si>
  <si>
    <t>תקן רגיל</t>
  </si>
  <si>
    <t>עו"ס משפחה ופיגור</t>
  </si>
  <si>
    <t>חג מנדיה</t>
  </si>
  <si>
    <t>רנא</t>
  </si>
  <si>
    <t>אלימות במשפחה-תקציב דרוזים</t>
  </si>
  <si>
    <t xml:space="preserve">עו"ס אלימות במשפחה </t>
  </si>
  <si>
    <t>סייד_אחמד</t>
  </si>
  <si>
    <t>עו"ס אנטיק</t>
  </si>
  <si>
    <t>עו"ס חד הוריות</t>
  </si>
  <si>
    <t>עו"ס נערות במצצוקה</t>
  </si>
  <si>
    <t>עו"ס נערות במצוקה</t>
  </si>
  <si>
    <t>חאטום</t>
  </si>
  <si>
    <t>עו"ס משפחה -דורזים</t>
  </si>
  <si>
    <t>דרוזים</t>
  </si>
  <si>
    <t>עו"ס אלימות נגד קשישים דרוזים</t>
  </si>
  <si>
    <t xml:space="preserve">עו"ס אלימות נגד קשישים </t>
  </si>
  <si>
    <t>דרוזים 0.25 וזקן 0.25</t>
  </si>
  <si>
    <t>עו"ס התנדבות וחירום</t>
  </si>
  <si>
    <t xml:space="preserve">משפחה </t>
  </si>
  <si>
    <t>עו"ס קשישים</t>
  </si>
  <si>
    <t>עו"ס</t>
  </si>
  <si>
    <t>תקן חדש</t>
  </si>
  <si>
    <t xml:space="preserve">תקן חדש </t>
  </si>
  <si>
    <t>תקן דרוזים- תכנית עוצמה</t>
  </si>
  <si>
    <t>פרחאת-אבופארס</t>
  </si>
  <si>
    <t>לשכת רווחה מנהלי מזכירה</t>
  </si>
  <si>
    <t>מזכירה לשכת רווחה</t>
  </si>
  <si>
    <t>לשכת רווחה מנהלי-שומר</t>
  </si>
  <si>
    <t>לנא</t>
  </si>
  <si>
    <t>לשכת רווחה מנהלי-פקידת זכאות</t>
  </si>
  <si>
    <t>עובדת זכאות</t>
  </si>
  <si>
    <t>זהרה</t>
  </si>
  <si>
    <t>לשכת רווחה מנהלי-נקיון</t>
  </si>
  <si>
    <t>סוהא</t>
  </si>
  <si>
    <t>מעדונית אינטנסיבית</t>
  </si>
  <si>
    <t>אם בית מעדונית</t>
  </si>
  <si>
    <t>נתיבים להורות-אם בית</t>
  </si>
  <si>
    <t>מע"ש</t>
  </si>
  <si>
    <t>מדריכה מע"ש</t>
  </si>
  <si>
    <t>אם בית מע"ש</t>
  </si>
  <si>
    <t>כרמילה</t>
  </si>
  <si>
    <t>מנהלת מע"ש</t>
  </si>
  <si>
    <t>הכשרת עבירות בניה</t>
  </si>
  <si>
    <t xml:space="preserve">הוצאות קישוט חגים </t>
  </si>
  <si>
    <t xml:space="preserve">סקר נכסים מדידות </t>
  </si>
  <si>
    <t>הוצאות מימון ותיק איחוד ורבית ספקים</t>
  </si>
  <si>
    <t>השתתפות באבטחת יו"ר ועדת רכס הכרמל</t>
  </si>
  <si>
    <t xml:space="preserve">מנב"ס בתי ספר </t>
  </si>
  <si>
    <t>גני ילדים טרום וחובה תקשורת ואינטרנט</t>
  </si>
  <si>
    <t xml:space="preserve">פנימיות יום מילת יישובי </t>
  </si>
  <si>
    <t xml:space="preserve">פנימיות יום מיל"ת </t>
  </si>
  <si>
    <t xml:space="preserve">שרות פסיכולוגי תקשורת ואינטרנט </t>
  </si>
  <si>
    <t xml:space="preserve">מתי"א תמיכה אגרת שכפול </t>
  </si>
  <si>
    <t>אחזקת מעלית מתנ"ס</t>
  </si>
  <si>
    <t xml:space="preserve">מוסדות דת מים </t>
  </si>
  <si>
    <t>תמר</t>
  </si>
  <si>
    <t>ממלאת מקום יום שישי</t>
  </si>
  <si>
    <t>סייעת מתגברת</t>
  </si>
  <si>
    <t xml:space="preserve">עזאם </t>
  </si>
  <si>
    <t>רובא</t>
  </si>
  <si>
    <t>סה"כ סייעות צמודות</t>
  </si>
  <si>
    <t>בעיני</t>
  </si>
  <si>
    <t>מאגדה</t>
  </si>
  <si>
    <t>מייסא</t>
  </si>
  <si>
    <t>תוכנית יובלים</t>
  </si>
  <si>
    <t>הסברים</t>
  </si>
  <si>
    <t>הכנסות מארנונה</t>
  </si>
  <si>
    <t xml:space="preserve">הכנסה מפיגורים </t>
  </si>
  <si>
    <t>הכנסה משוטף</t>
  </si>
  <si>
    <t>תחזית לסוף שנה</t>
  </si>
  <si>
    <t>תחזית 2017</t>
  </si>
  <si>
    <t>חיוב נטו לאחר תיקונים והנחות- חזוי</t>
  </si>
  <si>
    <t>תיקונים לסקר נכסים לסוף שנה</t>
  </si>
  <si>
    <t>הנחות לסוף שנה</t>
  </si>
  <si>
    <t>אחוז גביה</t>
  </si>
  <si>
    <t>גביה חזויה</t>
  </si>
  <si>
    <t>גביה מפיגורים</t>
  </si>
  <si>
    <t>סה"כ גביה חזויה</t>
  </si>
  <si>
    <t>הכנסות ממשק מים</t>
  </si>
  <si>
    <t>חיוב למחצית 2017</t>
  </si>
  <si>
    <t xml:space="preserve">אחוז גביה </t>
  </si>
  <si>
    <t>גביה משוטף</t>
  </si>
  <si>
    <t>סה"כ גביה</t>
  </si>
  <si>
    <t>ביוב</t>
  </si>
  <si>
    <t>אגרות ביוב אוחדו עם חשבון במים לכן אין גבייה בסעיף זה החל מ- 01.01.2016</t>
  </si>
  <si>
    <t>היטל ביוב פיגורים- רשויות מקומיות המתאגדות אסור להן לגבות פיגורים בהיטלים.</t>
  </si>
  <si>
    <t>הוצאות מים</t>
  </si>
  <si>
    <t>תקצוב עבור מחצית השנה הראשונה של 2017.</t>
  </si>
  <si>
    <t>משק המים  תוקצב עבור מחצית שנת 2017 על בסיס ההנחה כי ההוצאות יהיו דומות להוצאות בגין 2016 באופן</t>
  </si>
  <si>
    <t>יחסי.</t>
  </si>
  <si>
    <t>פירוט מלוות</t>
  </si>
  <si>
    <t>הלוואות קיימות</t>
  </si>
  <si>
    <t>קרן</t>
  </si>
  <si>
    <t>הנחה שיתקבל באמצע שנת 2017 הלוואות בסכום של 12.5 מליון ₪ לפרעון למשך 10 שנים</t>
  </si>
  <si>
    <t xml:space="preserve">פרעון בשנת 2017 לקרן חדש </t>
  </si>
  <si>
    <t>12.5000/10*.5</t>
  </si>
  <si>
    <t>בשנת 2018 הנחה שיתקבל עוד 12.5 מליום ₪ באמצע שנה</t>
  </si>
  <si>
    <t>פרעון הלוואות חדשות</t>
  </si>
  <si>
    <t>בגין הלוואות שהתקבלו שבנת 2017</t>
  </si>
  <si>
    <t>12500/10</t>
  </si>
  <si>
    <t>הלוואות שהתקבלו בשנת 2018</t>
  </si>
  <si>
    <t>12500/10*.5</t>
  </si>
  <si>
    <t>סה"כ פרעון חדש לשנת 2018</t>
  </si>
  <si>
    <t>סה"כ פרעון ישן</t>
  </si>
  <si>
    <t>רבית 2017</t>
  </si>
  <si>
    <t>רבית על ישן</t>
  </si>
  <si>
    <t>רבית על חדש</t>
  </si>
  <si>
    <t>רבית 2018</t>
  </si>
  <si>
    <t>רבית הלוואות ישנות מלפני 2017</t>
  </si>
  <si>
    <t>רבית על הלוואות 2017</t>
  </si>
  <si>
    <t>בהנחה שנפרע בשנת 2017 12500/10*.5</t>
  </si>
  <si>
    <t>רבית על הלוואות 2018</t>
  </si>
  <si>
    <t>בהנחה שהלוואות בתקבלו באמצע השנה</t>
  </si>
  <si>
    <t>אגרות שכפול מתי"א</t>
  </si>
  <si>
    <t xml:space="preserve">עוזרות לגננות גנים חובה </t>
  </si>
  <si>
    <t xml:space="preserve">הזנת גני ילדים יוח"א </t>
  </si>
  <si>
    <t xml:space="preserve">הוצ' לטיפול במשק המים </t>
  </si>
  <si>
    <t>השתתפות עצמית מועצה תביעות ביטוח</t>
  </si>
  <si>
    <t>חיוב נטו לפי מאזן סופי 2016</t>
  </si>
  <si>
    <t xml:space="preserve">חיוב נוסף נטו בעקבות עליה שיעור עדכון וסיום בניה והערכה לתיקון נוסף </t>
  </si>
  <si>
    <t>חזוי סקר נכסים</t>
  </si>
  <si>
    <t>החזר הסעות רשת אורט</t>
  </si>
  <si>
    <t>הנהלת חשבונות ,יועץ פיננסי וחשבות שכר</t>
  </si>
  <si>
    <t>הוצאות פרישה ופיצויים</t>
  </si>
  <si>
    <t>שפ"י ערכות אבחון</t>
  </si>
  <si>
    <t xml:space="preserve">גוליה </t>
  </si>
  <si>
    <t>סייד אחמד</t>
  </si>
  <si>
    <t>פרישה ופיצויים</t>
  </si>
  <si>
    <t>סה"כ פרישה ופיצויים</t>
  </si>
  <si>
    <t>הוצ דלק ואחזקה ציוד הנדסה</t>
  </si>
  <si>
    <t xml:space="preserve">תחזית </t>
  </si>
  <si>
    <t>ביצוע 1-9/2016</t>
  </si>
  <si>
    <t>פרויקט וינגיט ומיתר</t>
  </si>
  <si>
    <t>ביצוע צפוי 2016</t>
  </si>
  <si>
    <t>ביצוע 10-12/2016</t>
  </si>
  <si>
    <t>10/2016</t>
  </si>
  <si>
    <t>11-12/2016</t>
  </si>
  <si>
    <t>ביצוע 1-11/16</t>
  </si>
  <si>
    <t>ביצוע 12/2016</t>
  </si>
  <si>
    <t>ביצוע מצטבר 1-11/16</t>
  </si>
  <si>
    <t>תחזית ביצוע 12/2016</t>
  </si>
  <si>
    <t>רזקה</t>
  </si>
  <si>
    <t>לינא</t>
  </si>
  <si>
    <t>אלבט</t>
  </si>
  <si>
    <t xml:space="preserve">רימא </t>
  </si>
  <si>
    <t>מייסה</t>
  </si>
  <si>
    <t xml:space="preserve">על יסודי מתמטיקה +מנהל התנדבותי </t>
  </si>
  <si>
    <t xml:space="preserve">תקן רגיל </t>
  </si>
  <si>
    <t xml:space="preserve">ועדות החלטה 0.25 ו- 0.75 מרכז מיטל   </t>
  </si>
  <si>
    <t xml:space="preserve">תמימה </t>
  </si>
  <si>
    <t xml:space="preserve">עו"ס חד הוריות </t>
  </si>
  <si>
    <t>אבו יונס</t>
  </si>
  <si>
    <t>נור</t>
  </si>
  <si>
    <t>עו"ס תוכנית לאומית</t>
  </si>
  <si>
    <t>תוכנית לאומית וילד ונוער</t>
  </si>
  <si>
    <t>לא מאוייש --חדש</t>
  </si>
  <si>
    <t>אריג</t>
  </si>
  <si>
    <t>השתתפות פרויקטים נכסים ציבוריים</t>
  </si>
  <si>
    <t>שכר שמירה וביטחון</t>
  </si>
  <si>
    <t>שמירה</t>
  </si>
  <si>
    <t>סה"כ שמירה וביטחון</t>
  </si>
  <si>
    <t>תקציב שכר רווחה לשנת 2017</t>
  </si>
  <si>
    <t>מזכיר- 100% בכירים</t>
  </si>
  <si>
    <t>גזברית- 0.85 בכירים</t>
  </si>
  <si>
    <t>מנהל מחלקת גביה וארנונה</t>
  </si>
  <si>
    <t>פקח תברואה ורישוי עסקים</t>
  </si>
  <si>
    <t>יחידת איתור</t>
  </si>
  <si>
    <t>נוער סמים</t>
  </si>
  <si>
    <t xml:space="preserve">יחידת נוער </t>
  </si>
  <si>
    <t xml:space="preserve">אהובה </t>
  </si>
  <si>
    <t>אבו רוקן סלימאן</t>
  </si>
  <si>
    <t xml:space="preserve">מריח </t>
  </si>
  <si>
    <t>שוגרי</t>
  </si>
  <si>
    <t>גומאן</t>
  </si>
  <si>
    <t>זידאן</t>
  </si>
  <si>
    <t>נידאא</t>
  </si>
  <si>
    <t>נסים</t>
  </si>
  <si>
    <t>רובה</t>
  </si>
  <si>
    <t>קאסם</t>
  </si>
  <si>
    <t>אניסה</t>
  </si>
  <si>
    <t>דיאנא</t>
  </si>
  <si>
    <t xml:space="preserve">עובדים </t>
  </si>
  <si>
    <t>זמניים</t>
  </si>
  <si>
    <t>סמאח</t>
  </si>
  <si>
    <t>חוגיראת</t>
  </si>
  <si>
    <t>סוניה</t>
  </si>
  <si>
    <t>מחשבים</t>
  </si>
  <si>
    <t>תקציב שכר חינוך לשנת 2017</t>
  </si>
  <si>
    <t>תקציב שכר מוניצפלי לשנת 2017</t>
  </si>
  <si>
    <t>סה"כ מניעת נשירה</t>
  </si>
  <si>
    <t>מנהל שירות פסיכולוגי</t>
  </si>
  <si>
    <t xml:space="preserve">פסיכולוגים </t>
  </si>
  <si>
    <t>פאטמה</t>
  </si>
  <si>
    <t>אבו זלף</t>
  </si>
  <si>
    <t>פדל</t>
  </si>
  <si>
    <t>ביצוע עד 6/2017</t>
  </si>
  <si>
    <t>6/2017</t>
  </si>
  <si>
    <t>בטיחות וביטחון ציוד מוסדות חינוך</t>
  </si>
  <si>
    <t>בטיחות וביטחון מוסדות חינוך</t>
  </si>
  <si>
    <t>תקציב 2017 מעודכן</t>
  </si>
  <si>
    <t>תקציב מעודכן 2017</t>
  </si>
  <si>
    <t>ביצוע 6/17</t>
  </si>
  <si>
    <t>מיון</t>
  </si>
  <si>
    <t>חשבון</t>
  </si>
  <si>
    <t>שם חשבון</t>
  </si>
  <si>
    <t>תקציב שנתי</t>
  </si>
  <si>
    <t>תקציב יחסי</t>
  </si>
  <si>
    <t>ביצוע  שנתי</t>
  </si>
  <si>
    <t>שינוי</t>
  </si>
  <si>
    <t>כולל שינוי</t>
  </si>
  <si>
    <t>יתרות ארנונה2006</t>
  </si>
  <si>
    <t>1 סה"כ</t>
  </si>
  <si>
    <t>ארנונה</t>
  </si>
  <si>
    <t>אגרת מים/צריכה</t>
  </si>
  <si>
    <t>מים פיגורים</t>
  </si>
  <si>
    <t>2 סה"כ</t>
  </si>
  <si>
    <t>ביטוח תלמיד גני ילדים-סגור</t>
  </si>
  <si>
    <t>גני ילדים חובה</t>
  </si>
  <si>
    <t>גני ילדים יוח"א ומל"ת</t>
  </si>
  <si>
    <t>החזר ניהול עצמי - ביטוח ושונות</t>
  </si>
  <si>
    <t>קייטנות</t>
  </si>
  <si>
    <t>ביטוח תלמיד גני ילדים-ת.הורים</t>
  </si>
  <si>
    <t>תוכנית טף ואתגר</t>
  </si>
  <si>
    <t>3 סה"כ</t>
  </si>
  <si>
    <t>הכנסה מכירות</t>
  </si>
  <si>
    <t>פיקוח וטרינרי /אגרות</t>
  </si>
  <si>
    <t>מלחמה בכלבת/אגרת בגין</t>
  </si>
  <si>
    <t>אגרות בניה- רכס הכרמל</t>
  </si>
  <si>
    <t>הכנסות משכירות בזק</t>
  </si>
  <si>
    <t>*רכס*סגור*-עבר ל- 1233400710</t>
  </si>
  <si>
    <t>הכנסות שונות</t>
  </si>
  <si>
    <t>מכרזים</t>
  </si>
  <si>
    <t>החזר טלפון עובדים</t>
  </si>
  <si>
    <t>קייטנות גיל רך</t>
  </si>
  <si>
    <t>עיר ללא אלימות - מועצה</t>
  </si>
  <si>
    <t>פעילות מתנ"ס</t>
  </si>
  <si>
    <t>השתתפות הכנסות ספורט</t>
  </si>
  <si>
    <t>היטל צריכת מים עודפת</t>
  </si>
  <si>
    <t>א.הנחת צנרת שוטף</t>
  </si>
  <si>
    <t>אגרת הנחת צנרת-פיגורים</t>
  </si>
  <si>
    <t>ביוב עירוני אגרת שוטף</t>
  </si>
  <si>
    <t>ביוב עירוני/אגרות בגין שנים קו</t>
  </si>
  <si>
    <t>רבית</t>
  </si>
  <si>
    <t>5 סה"כ</t>
  </si>
  <si>
    <t>עצמיות ואחרים</t>
  </si>
  <si>
    <t>הכנס' חינוך-מרכיבי ביטחון</t>
  </si>
  <si>
    <t>מנב"ס מזכירים-סגור</t>
  </si>
  <si>
    <t>חינוך שיפוצים/בטיחות</t>
  </si>
  <si>
    <t>חומרים העשרה והצידות גני ילדים</t>
  </si>
  <si>
    <t>אגרת שיכפול - יוח"א</t>
  </si>
  <si>
    <t>עוזרות לגננות גני חובה</t>
  </si>
  <si>
    <t>הזנת גני ילדים</t>
  </si>
  <si>
    <t>שכ"לם גנ"י קדם חובה</t>
  </si>
  <si>
    <t>גננות ע.מדינה</t>
  </si>
  <si>
    <t>סייעות 2 והעשרה-רשמי</t>
  </si>
  <si>
    <t>הט"ף ואתגר הכנסות מ. חינוך</t>
  </si>
  <si>
    <t>מרכז נוער יישובי</t>
  </si>
  <si>
    <t>יחידת נוער במרחב הפתוח סגור</t>
  </si>
  <si>
    <t>חיזוק משאבי התמדדות</t>
  </si>
  <si>
    <t>תוכנית ראשית-תוכנית לאומית</t>
  </si>
  <si>
    <t>העשרה חנ"מ-גנ"י-דרוז</t>
  </si>
  <si>
    <t>פנימיות יום מיל"ת</t>
  </si>
  <si>
    <t>ניהול עצמי בתי ספר יסודי א-ו</t>
  </si>
  <si>
    <t>ניהול עצמי משופר ז-ח</t>
  </si>
  <si>
    <t>עובד סיוע משופר א-ח</t>
  </si>
  <si>
    <t>תוספת דפנציאלי נ.עצמי</t>
  </si>
  <si>
    <t>גמול מנהליות -נ.עצמי</t>
  </si>
  <si>
    <t>שרתים בתי ספר יסודיים</t>
  </si>
  <si>
    <t>שרתים יסודי יום לינוך ארוך</t>
  </si>
  <si>
    <t>מתי"א-שרתים</t>
  </si>
  <si>
    <t>מזכירים יסודי ח.מיוחד</t>
  </si>
  <si>
    <t>מתי"א-מזכירים</t>
  </si>
  <si>
    <t>מתי"א-הצטידות</t>
  </si>
  <si>
    <t>תשלום הורים חומרים ומלאכה</t>
  </si>
  <si>
    <t>אגרות שכפול יסודי</t>
  </si>
  <si>
    <t>סייעות רפואיות</t>
  </si>
  <si>
    <t>סייעות כ. ב"ס חריגות</t>
  </si>
  <si>
    <t>ליווי הסעות ח"מ -חיפה</t>
  </si>
  <si>
    <t>גמול רכוז בטיחות בדרכים</t>
  </si>
  <si>
    <t>אמ"ץ ותל"ם</t>
  </si>
  <si>
    <t>סל תלמיד לחט"ב /אורט</t>
  </si>
  <si>
    <t>סל תלמיד לעולה חט"ב 166</t>
  </si>
  <si>
    <t>סל תלמיד ב"ס אלאשראק חט"ב</t>
  </si>
  <si>
    <t>שכ"ל על יסודי</t>
  </si>
  <si>
    <t>על יסודי מתמטיקה+ מנהל התנדבות</t>
  </si>
  <si>
    <t>מנהל תחום התנדבותי 605</t>
  </si>
  <si>
    <t>שמירה ובטחון-השתת' משטרת ישראל</t>
  </si>
  <si>
    <t>ש.קיץ-מפגעי בטיחות</t>
  </si>
  <si>
    <t>ה.נלוות ח.מיוחד דרוזי</t>
  </si>
  <si>
    <t>השתתפות משרד החינוך-פסג"ה</t>
  </si>
  <si>
    <t>פסיכולוגים חינוכיים</t>
  </si>
  <si>
    <t>שפ"י -שעות הדרכה</t>
  </si>
  <si>
    <t>מועדוניות</t>
  </si>
  <si>
    <t>הסעות נט רגיל</t>
  </si>
  <si>
    <t>הסעות ח.מיוחד</t>
  </si>
  <si>
    <t>הכנסות רווחה חינוכית</t>
  </si>
  <si>
    <t>שונות חינוך</t>
  </si>
  <si>
    <t>יחידת נוער במרחב הפתוח</t>
  </si>
  <si>
    <t>פרויקט פעילות נוער דרוזי</t>
  </si>
  <si>
    <t>6 סה"כ</t>
  </si>
  <si>
    <t>משרד החינוך</t>
  </si>
  <si>
    <t>בטחון עובדים</t>
  </si>
  <si>
    <t>מחשוב רפורמה</t>
  </si>
  <si>
    <t>תחנות לטיפול במשפחה</t>
  </si>
  <si>
    <t>נתיבים להורות-תכנית לאומית</t>
  </si>
  <si>
    <t>יצירת קשר הורים ילדים</t>
  </si>
  <si>
    <t>טיפול בילד בקהילה</t>
  </si>
  <si>
    <t>אחזקת ילדים בפנימיות/השתת' המע</t>
  </si>
  <si>
    <t>אחזקת ילדים במעונות יום-סגור</t>
  </si>
  <si>
    <t>אחזקת זקנים</t>
  </si>
  <si>
    <t>אחזקה במועונות אזרח ותיק</t>
  </si>
  <si>
    <t>טיפול בזקנים בסיכון</t>
  </si>
  <si>
    <t>טיפול באזרח ותיק בקהילה</t>
  </si>
  <si>
    <t>מסגרות יום לזקן</t>
  </si>
  <si>
    <t>סידור מפגרים במוסדות</t>
  </si>
  <si>
    <t>סידור מעונות מש"ה</t>
  </si>
  <si>
    <t>מ.יום ותעסוקה לגברים</t>
  </si>
  <si>
    <t>מעון ממשלתי</t>
  </si>
  <si>
    <t>טיפול בהורים וילדים</t>
  </si>
  <si>
    <t>מ.יום ותעסוקה לבוגרים</t>
  </si>
  <si>
    <t>מפגרים במעון טיפולי</t>
  </si>
  <si>
    <t>מ.יום טיפולי</t>
  </si>
  <si>
    <t>מעש"ים רווחה</t>
  </si>
  <si>
    <t>מעש"ים רווחה ילדי חוץ</t>
  </si>
  <si>
    <t>הסעות למעון יום -מש"ה</t>
  </si>
  <si>
    <t>נופשונים למפגר</t>
  </si>
  <si>
    <t>שירותים תומכים -מש"ח</t>
  </si>
  <si>
    <t>הסעות למ.יום טיפולי</t>
  </si>
  <si>
    <t>הדרכת עיוור ובני ביתו</t>
  </si>
  <si>
    <t>א. נכים בפנימיות</t>
  </si>
  <si>
    <t>מועדונים לעוור</t>
  </si>
  <si>
    <t>א.נכים בפנימיות</t>
  </si>
  <si>
    <t>מס.יום לילד המוגבל</t>
  </si>
  <si>
    <t>תכנית לילד החריג</t>
  </si>
  <si>
    <t>מ.אבחון ושיקום נכים</t>
  </si>
  <si>
    <t>ילדים עייורים בקהילה</t>
  </si>
  <si>
    <t>בוגרים עיוורים בקהילה</t>
  </si>
  <si>
    <t>ילדים עיוורים בקהילה</t>
  </si>
  <si>
    <t>בתים חמים</t>
  </si>
  <si>
    <t>מ.לנפגעי תקיפה מינית</t>
  </si>
  <si>
    <t>סמים/טיפול בקהילה</t>
  </si>
  <si>
    <t>טיפול בנוער מתמכר</t>
  </si>
  <si>
    <t>מיתר</t>
  </si>
  <si>
    <t>פ.במגזר הדרוזי-פרט ובמשפחה</t>
  </si>
  <si>
    <t>ילדים במצוקה עולים</t>
  </si>
  <si>
    <t>ילדים במצוקה עוליםסגור</t>
  </si>
  <si>
    <t>7 סה"כ</t>
  </si>
  <si>
    <t>משרד הרווחה</t>
  </si>
  <si>
    <t>מענק מ.הפנים ת.בנייה</t>
  </si>
  <si>
    <t>פעולות תרבות</t>
  </si>
  <si>
    <t>הכנסות ספורט משרד ספורט ומ.להי</t>
  </si>
  <si>
    <t>הכנסות תרבות - משרד תרבות</t>
  </si>
  <si>
    <t>עיר ללא אלימות-משרד בטחון פנים</t>
  </si>
  <si>
    <t>הכנסות ספורט משרד הספורט</t>
  </si>
  <si>
    <t>הכנסות בריאות</t>
  </si>
  <si>
    <t>החזר הטבת מים לאוכלוסיה מיוחדת</t>
  </si>
  <si>
    <t>הכנסות תאגיד תמיר</t>
  </si>
  <si>
    <t>יחידה לאיכות הסביבה השתת'</t>
  </si>
  <si>
    <t>פעילות נוער במגזר הדרוזי</t>
  </si>
  <si>
    <t>8 סה"כ</t>
  </si>
  <si>
    <t>ממשלתיים אחרים</t>
  </si>
  <si>
    <t>מענקים כללים השתתפות מש</t>
  </si>
  <si>
    <t>9 סה"כ</t>
  </si>
  <si>
    <t>10 סה"כ</t>
  </si>
  <si>
    <t>מענק מיוחד משרד פנים</t>
  </si>
  <si>
    <t>11 סה"כ</t>
  </si>
  <si>
    <t>12 סה"כ</t>
  </si>
  <si>
    <t>ויתור הסדר נושים</t>
  </si>
  <si>
    <t>13 סה"כ</t>
  </si>
  <si>
    <t>14 סה"כ</t>
  </si>
  <si>
    <t>15 סה"כ</t>
  </si>
  <si>
    <t>החזר הוצ' שנים קודמות</t>
  </si>
  <si>
    <t>16 סה"כ</t>
  </si>
  <si>
    <t>17 סה"כ</t>
  </si>
  <si>
    <t>סכום כולל</t>
  </si>
  <si>
    <t>ביצוע דוח חצי שנתי 2017 עוספייה</t>
  </si>
  <si>
    <r>
      <t xml:space="preserve">עודף ( </t>
    </r>
    <r>
      <rPr>
        <b/>
        <sz val="11"/>
        <color indexed="10"/>
        <rFont val="Arial"/>
        <family val="2"/>
      </rPr>
      <t xml:space="preserve">גרעון  </t>
    </r>
    <r>
      <rPr>
        <b/>
        <sz val="11"/>
        <rFont val="Arial"/>
        <family val="2"/>
      </rPr>
      <t>)</t>
    </r>
  </si>
  <si>
    <t>ביטוח תלמידים</t>
  </si>
  <si>
    <t>גמול רכוז סטיחות בדרכים</t>
  </si>
  <si>
    <t>מנהל תחום התנדבותי</t>
  </si>
  <si>
    <t>ש.קיץ- מפגעי בטיחות</t>
  </si>
  <si>
    <t>מס. יום לילד המוגבל</t>
  </si>
  <si>
    <t>הפרשות</t>
  </si>
  <si>
    <t>?????</t>
  </si>
  <si>
    <t xml:space="preserve">???סאיב </t>
  </si>
  <si>
    <t>סאיב</t>
  </si>
  <si>
    <t>68500 להעביר לרווחה</t>
  </si>
  <si>
    <t>להעביר לרווחה וגם ההכנסות 68500</t>
  </si>
  <si>
    <t>כמו ביצוע 2016 בדיוק</t>
  </si>
  <si>
    <t>כמו ביצוע 2016</t>
  </si>
  <si>
    <t>סאיב לבדוק מית"ר אלאשראק עד חודש 8</t>
  </si>
  <si>
    <t>קיים ברווחה</t>
  </si>
  <si>
    <t>מיתוג ותיירות -משרד תיירות</t>
  </si>
  <si>
    <t>כולל מעשים ילדי חוץ 138778/.075</t>
  </si>
  <si>
    <t>כולל מס. יומית לילד המוגבל 9248/.75</t>
  </si>
  <si>
    <t>כולל שיקום עיוורים בקהילה 12048/.75</t>
  </si>
  <si>
    <t>ביצוע 2016</t>
  </si>
  <si>
    <t>מזכירת גזבר</t>
  </si>
  <si>
    <t>הצטיידות מדעים</t>
  </si>
  <si>
    <t>החלפת והתקנת מדי מים</t>
  </si>
  <si>
    <t>ביצוע 9/2017</t>
  </si>
  <si>
    <t>תקציב 2019</t>
  </si>
  <si>
    <t>תקציב מעודכן 2018</t>
  </si>
  <si>
    <t>תקציב מעודכן 2019</t>
  </si>
  <si>
    <t>תקציב מעודכן 2020</t>
  </si>
  <si>
    <t>תקציב מעודכן 2021</t>
  </si>
  <si>
    <t>הצעת תקציב 2019</t>
  </si>
  <si>
    <t>הצעת תקציב ישנה</t>
  </si>
  <si>
    <t>ביצוע 9/17</t>
  </si>
  <si>
    <t>עדכון התקציב הרגיל של הרשות לשנת 2017 שאושר על ידי מליאת מועצת הרשות, כאמור בסעיף 2 לעיל .</t>
  </si>
  <si>
    <t xml:space="preserve">שנת </t>
  </si>
  <si>
    <t>ביצוע 1-9/17תקן</t>
  </si>
  <si>
    <t>צפוי 10-12/17</t>
  </si>
  <si>
    <t>צפוי 10-12/17 תקן</t>
  </si>
  <si>
    <t>סה"כ 2017 תקן</t>
  </si>
  <si>
    <t>סה"כ 2017</t>
  </si>
  <si>
    <t>תקציב 2018 תקן</t>
  </si>
  <si>
    <t>תקציב 2019 תקן</t>
  </si>
  <si>
    <t>הדפסת תלושי מים</t>
  </si>
  <si>
    <t>כיבוי אש -השתתפויות ארצית</t>
  </si>
  <si>
    <t>בחירות</t>
  </si>
  <si>
    <t>תקן 2018 ישן</t>
  </si>
  <si>
    <t>תקציב שנת 2018 ישן</t>
  </si>
  <si>
    <t>משרה 2018 ישן</t>
  </si>
  <si>
    <t xml:space="preserve">תקציב 2018 ישן </t>
  </si>
  <si>
    <t>2019</t>
  </si>
  <si>
    <t xml:space="preserve">תקציב  2017 </t>
  </si>
  <si>
    <t>ביצוע בפועל 2017</t>
  </si>
  <si>
    <t xml:space="preserve">מפעל </t>
  </si>
  <si>
    <t xml:space="preserve">ת.זהות </t>
  </si>
  <si>
    <t xml:space="preserve">זהות כולל ביקורת </t>
  </si>
  <si>
    <t xml:space="preserve">שם משפחה </t>
  </si>
  <si>
    <t xml:space="preserve">שם פרטי </t>
  </si>
  <si>
    <t xml:space="preserve">תקופה </t>
  </si>
  <si>
    <t xml:space="preserve">רשות הנהלת חשבונות </t>
  </si>
  <si>
    <t xml:space="preserve">סטאטוס עובד </t>
  </si>
  <si>
    <t xml:space="preserve">דרוג </t>
  </si>
  <si>
    <t xml:space="preserve">דרגה </t>
  </si>
  <si>
    <t xml:space="preserve">רמה </t>
  </si>
  <si>
    <t xml:space="preserve">היקף משרה </t>
  </si>
  <si>
    <t xml:space="preserve">סהכ כללי עלות מעביד </t>
  </si>
  <si>
    <t xml:space="preserve">קופות גמל עלות מעביד </t>
  </si>
  <si>
    <t xml:space="preserve">ב.לאומי הפרשת מעביד </t>
  </si>
  <si>
    <t xml:space="preserve">סהכ שכר ברוטו לעובד </t>
  </si>
  <si>
    <t xml:space="preserve">פיצויים </t>
  </si>
  <si>
    <t xml:space="preserve">ביגוד הבראה </t>
  </si>
  <si>
    <t xml:space="preserve">פנסיה </t>
  </si>
  <si>
    <t xml:space="preserve">רכב </t>
  </si>
  <si>
    <t xml:space="preserve">טלפון מעונות </t>
  </si>
  <si>
    <t xml:space="preserve">שעות נוספות </t>
  </si>
  <si>
    <t xml:space="preserve">שכר משולב </t>
  </si>
  <si>
    <t xml:space="preserve">מס שכר הפרשת מעביד </t>
  </si>
  <si>
    <t>מס מעסיק הפרשת מעביד</t>
  </si>
  <si>
    <t xml:space="preserve">ועד הפרשת מעביד </t>
  </si>
  <si>
    <t xml:space="preserve">מספר הנהלת חשבונות </t>
  </si>
  <si>
    <t xml:space="preserve">מוראד </t>
  </si>
  <si>
    <t>2017/09</t>
  </si>
  <si>
    <t xml:space="preserve">גוטאני </t>
  </si>
  <si>
    <t xml:space="preserve">נגאת </t>
  </si>
  <si>
    <t xml:space="preserve">סוזן </t>
  </si>
  <si>
    <t xml:space="preserve">נסראלדין </t>
  </si>
  <si>
    <t xml:space="preserve">זאהר </t>
  </si>
  <si>
    <t xml:space="preserve">עטאף </t>
  </si>
  <si>
    <t xml:space="preserve">סעב </t>
  </si>
  <si>
    <t xml:space="preserve">חנאן </t>
  </si>
  <si>
    <t xml:space="preserve">עפיפה </t>
  </si>
  <si>
    <t xml:space="preserve">סקר </t>
  </si>
  <si>
    <t xml:space="preserve">אנעאם </t>
  </si>
  <si>
    <t xml:space="preserve">לאלא </t>
  </si>
  <si>
    <t xml:space="preserve">הודא </t>
  </si>
  <si>
    <t xml:space="preserve">קסראוי </t>
  </si>
  <si>
    <t xml:space="preserve">נוהא </t>
  </si>
  <si>
    <t xml:space="preserve">חמדאן </t>
  </si>
  <si>
    <t xml:space="preserve">עזה </t>
  </si>
  <si>
    <t xml:space="preserve">רחאב </t>
  </si>
  <si>
    <t xml:space="preserve">אמירה </t>
  </si>
  <si>
    <t xml:space="preserve">חיר </t>
  </si>
  <si>
    <t xml:space="preserve">עדבה </t>
  </si>
  <si>
    <t xml:space="preserve">קוזלי </t>
  </si>
  <si>
    <t xml:space="preserve">עביר </t>
  </si>
  <si>
    <t xml:space="preserve">אבורוקן </t>
  </si>
  <si>
    <t xml:space="preserve">מייסם </t>
  </si>
  <si>
    <t xml:space="preserve">חנאאן </t>
  </si>
  <si>
    <t xml:space="preserve">אבוראיד </t>
  </si>
  <si>
    <t xml:space="preserve">ראיה </t>
  </si>
  <si>
    <t xml:space="preserve">חתאם </t>
  </si>
  <si>
    <t xml:space="preserve">מרח </t>
  </si>
  <si>
    <t xml:space="preserve">רוחאנה </t>
  </si>
  <si>
    <t xml:space="preserve">אניסה </t>
  </si>
  <si>
    <t xml:space="preserve">ענת </t>
  </si>
  <si>
    <t xml:space="preserve">בסמה </t>
  </si>
  <si>
    <t>גוהיינ</t>
  </si>
  <si>
    <t xml:space="preserve">סיף </t>
  </si>
  <si>
    <t xml:space="preserve">סוהא </t>
  </si>
  <si>
    <t xml:space="preserve">תגריד </t>
  </si>
  <si>
    <t>סולטאנ</t>
  </si>
  <si>
    <t xml:space="preserve">האלה </t>
  </si>
  <si>
    <t xml:space="preserve">משלין </t>
  </si>
  <si>
    <t xml:space="preserve">קעבייה </t>
  </si>
  <si>
    <t xml:space="preserve">וופא </t>
  </si>
  <si>
    <t xml:space="preserve">מלוק </t>
  </si>
  <si>
    <t xml:space="preserve">שרה </t>
  </si>
  <si>
    <t xml:space="preserve">סחר </t>
  </si>
  <si>
    <t xml:space="preserve">ויאאם </t>
  </si>
  <si>
    <t xml:space="preserve">טויל </t>
  </si>
  <si>
    <t xml:space="preserve">נבילה </t>
  </si>
  <si>
    <t xml:space="preserve">עמאשה </t>
  </si>
  <si>
    <t xml:space="preserve">נסרין </t>
  </si>
  <si>
    <t xml:space="preserve">אבוסעד </t>
  </si>
  <si>
    <t xml:space="preserve">רביעה </t>
  </si>
  <si>
    <t xml:space="preserve">ולאא </t>
  </si>
  <si>
    <t xml:space="preserve">נסראת </t>
  </si>
  <si>
    <t xml:space="preserve">מערוף </t>
  </si>
  <si>
    <t xml:space="preserve">והב </t>
  </si>
  <si>
    <t xml:space="preserve">לביב </t>
  </si>
  <si>
    <t xml:space="preserve">נעמת </t>
  </si>
  <si>
    <t xml:space="preserve">עתאב </t>
  </si>
  <si>
    <t xml:space="preserve">עפאף </t>
  </si>
  <si>
    <t xml:space="preserve">סנאא </t>
  </si>
  <si>
    <t xml:space="preserve">דבור </t>
  </si>
  <si>
    <t xml:space="preserve">סועאד </t>
  </si>
  <si>
    <t xml:space="preserve">אכאבר </t>
  </si>
  <si>
    <t xml:space="preserve">חלבי </t>
  </si>
  <si>
    <t xml:space="preserve">נינה </t>
  </si>
  <si>
    <t xml:space="preserve">מיסון </t>
  </si>
  <si>
    <t xml:space="preserve">אבותמימי </t>
  </si>
  <si>
    <t>רודיינ</t>
  </si>
  <si>
    <t xml:space="preserve">סמירה </t>
  </si>
  <si>
    <t xml:space="preserve">ופיקה </t>
  </si>
  <si>
    <t xml:space="preserve">רכאב </t>
  </si>
  <si>
    <t xml:space="preserve">אמאל </t>
  </si>
  <si>
    <t xml:space="preserve">סעדה </t>
  </si>
  <si>
    <t xml:space="preserve">אסמה </t>
  </si>
  <si>
    <t xml:space="preserve">דאליה </t>
  </si>
  <si>
    <t xml:space="preserve">אבוסעדה </t>
  </si>
  <si>
    <t xml:space="preserve">אסתר </t>
  </si>
  <si>
    <t xml:space="preserve">אילנה </t>
  </si>
  <si>
    <t xml:space="preserve">אליזה </t>
  </si>
  <si>
    <t xml:space="preserve">עאידה </t>
  </si>
  <si>
    <t xml:space="preserve">חלאוה </t>
  </si>
  <si>
    <t xml:space="preserve">דינה </t>
  </si>
  <si>
    <t xml:space="preserve">שכידם </t>
  </si>
  <si>
    <t xml:space="preserve">נסאר </t>
  </si>
  <si>
    <t xml:space="preserve">ניבאל </t>
  </si>
  <si>
    <t xml:space="preserve">חיכאם </t>
  </si>
  <si>
    <t xml:space="preserve">חסון </t>
  </si>
  <si>
    <t xml:space="preserve">נואל </t>
  </si>
  <si>
    <t xml:space="preserve">סעיד </t>
  </si>
  <si>
    <t xml:space="preserve">אולפת </t>
  </si>
  <si>
    <t xml:space="preserve">קיואן </t>
  </si>
  <si>
    <t xml:space="preserve">מייסר </t>
  </si>
  <si>
    <t xml:space="preserve">אסאלה </t>
  </si>
  <si>
    <t xml:space="preserve">סהאם </t>
  </si>
  <si>
    <t xml:space="preserve">לינה </t>
  </si>
  <si>
    <t xml:space="preserve">אבו סעדה </t>
  </si>
  <si>
    <t xml:space="preserve">רבקה </t>
  </si>
  <si>
    <t xml:space="preserve">אבוזלף </t>
  </si>
  <si>
    <t xml:space="preserve">סאבא </t>
  </si>
  <si>
    <t xml:space="preserve">פדאא </t>
  </si>
  <si>
    <t xml:space="preserve">סוהיר </t>
  </si>
  <si>
    <t xml:space="preserve">רוזה </t>
  </si>
  <si>
    <t xml:space="preserve">בעיני </t>
  </si>
  <si>
    <t xml:space="preserve">מאגדה </t>
  </si>
  <si>
    <t>מייסאא</t>
  </si>
  <si>
    <t xml:space="preserve">פרידה </t>
  </si>
  <si>
    <t xml:space="preserve">מלאק </t>
  </si>
  <si>
    <t>רשא רה</t>
  </si>
  <si>
    <t xml:space="preserve">נזירה </t>
  </si>
  <si>
    <t xml:space="preserve">אימאן </t>
  </si>
  <si>
    <t xml:space="preserve">בדריה </t>
  </si>
  <si>
    <t xml:space="preserve">היאם </t>
  </si>
  <si>
    <t xml:space="preserve">אסף </t>
  </si>
  <si>
    <t xml:space="preserve">רים </t>
  </si>
  <si>
    <t xml:space="preserve">מחרז </t>
  </si>
  <si>
    <t xml:space="preserve">שלח </t>
  </si>
  <si>
    <t xml:space="preserve">רכאד </t>
  </si>
  <si>
    <t xml:space="preserve">אחסאן </t>
  </si>
  <si>
    <t xml:space="preserve">פלאח </t>
  </si>
  <si>
    <t xml:space="preserve">יולנד </t>
  </si>
  <si>
    <t xml:space="preserve">אבופארס </t>
  </si>
  <si>
    <t xml:space="preserve">סואר </t>
  </si>
  <si>
    <t xml:space="preserve">פדל </t>
  </si>
  <si>
    <t xml:space="preserve">פרח </t>
  </si>
  <si>
    <t xml:space="preserve">ערטול </t>
  </si>
  <si>
    <t xml:space="preserve">איימן </t>
  </si>
  <si>
    <t xml:space="preserve">נגאר </t>
  </si>
  <si>
    <t xml:space="preserve">כמיל </t>
  </si>
  <si>
    <t xml:space="preserve">סלמה </t>
  </si>
  <si>
    <t xml:space="preserve">הנייה </t>
  </si>
  <si>
    <t xml:space="preserve">מחול </t>
  </si>
  <si>
    <t xml:space="preserve">פאטמה </t>
  </si>
  <si>
    <t xml:space="preserve">ספיה </t>
  </si>
  <si>
    <t xml:space="preserve">מוחמד </t>
  </si>
  <si>
    <t xml:space="preserve">ראניה </t>
  </si>
  <si>
    <t xml:space="preserve">פוארסה </t>
  </si>
  <si>
    <t xml:space="preserve">רימה </t>
  </si>
  <si>
    <t xml:space="preserve">מהא </t>
  </si>
  <si>
    <t xml:space="preserve">רשא </t>
  </si>
  <si>
    <t xml:space="preserve">ספאא </t>
  </si>
  <si>
    <t xml:space="preserve">וגיה </t>
  </si>
  <si>
    <t xml:space="preserve">רינה </t>
  </si>
  <si>
    <t xml:space="preserve">מואנס </t>
  </si>
  <si>
    <t xml:space="preserve">אוסנת </t>
  </si>
  <si>
    <t xml:space="preserve">מזיאד </t>
  </si>
  <si>
    <t xml:space="preserve">אבופחר </t>
  </si>
  <si>
    <t xml:space="preserve">שפיקה </t>
  </si>
  <si>
    <t>עבדאלל</t>
  </si>
  <si>
    <t xml:space="preserve">מוסטפא </t>
  </si>
  <si>
    <t>מוחסנה</t>
  </si>
  <si>
    <t xml:space="preserve">עזמי </t>
  </si>
  <si>
    <t xml:space="preserve">פריזה </t>
  </si>
  <si>
    <t xml:space="preserve">אסדי </t>
  </si>
  <si>
    <t xml:space="preserve">מרון </t>
  </si>
  <si>
    <t xml:space="preserve">נעים </t>
  </si>
  <si>
    <t xml:space="preserve">נגוה </t>
  </si>
  <si>
    <t xml:space="preserve">דיאנה </t>
  </si>
  <si>
    <t xml:space="preserve">סמיר </t>
  </si>
  <si>
    <t xml:space="preserve">פריד </t>
  </si>
  <si>
    <t xml:space="preserve">מזייד </t>
  </si>
  <si>
    <t xml:space="preserve">נזיה </t>
  </si>
  <si>
    <t xml:space="preserve">מלשי </t>
  </si>
  <si>
    <t xml:space="preserve">יוסף </t>
  </si>
  <si>
    <t xml:space="preserve">אריג </t>
  </si>
  <si>
    <t xml:space="preserve">סופיה </t>
  </si>
  <si>
    <t xml:space="preserve">מארון </t>
  </si>
  <si>
    <t xml:space="preserve">עלא </t>
  </si>
  <si>
    <t xml:space="preserve">נלסון </t>
  </si>
  <si>
    <t xml:space="preserve">רביע </t>
  </si>
  <si>
    <t xml:space="preserve">חאלד </t>
  </si>
  <si>
    <t xml:space="preserve">גאבר </t>
  </si>
  <si>
    <t xml:space="preserve">אקראם </t>
  </si>
  <si>
    <t xml:space="preserve">רוז </t>
  </si>
  <si>
    <t xml:space="preserve">כמאל </t>
  </si>
  <si>
    <t xml:space="preserve">רובה </t>
  </si>
  <si>
    <t xml:space="preserve">רוידה </t>
  </si>
  <si>
    <t xml:space="preserve">שירין </t>
  </si>
  <si>
    <t xml:space="preserve">אבו שאהין </t>
  </si>
  <si>
    <t xml:space="preserve">סמיחה </t>
  </si>
  <si>
    <t xml:space="preserve">אלהאם </t>
  </si>
  <si>
    <t xml:space="preserve">פדול </t>
  </si>
  <si>
    <t xml:space="preserve">חרמאן </t>
  </si>
  <si>
    <t xml:space="preserve">רחיל </t>
  </si>
  <si>
    <t xml:space="preserve">ענאיה </t>
  </si>
  <si>
    <t xml:space="preserve">חנין </t>
  </si>
  <si>
    <t xml:space="preserve">היפא </t>
  </si>
  <si>
    <t xml:space="preserve">נורה </t>
  </si>
  <si>
    <t xml:space="preserve">נדא </t>
  </si>
  <si>
    <t xml:space="preserve">ראיק </t>
  </si>
  <si>
    <t xml:space="preserve">ויסאם </t>
  </si>
  <si>
    <t xml:space="preserve">ווחיד </t>
  </si>
  <si>
    <t xml:space="preserve">נילי </t>
  </si>
  <si>
    <t xml:space="preserve">חסן </t>
  </si>
  <si>
    <t xml:space="preserve">אניס </t>
  </si>
  <si>
    <t xml:space="preserve">חאטום </t>
  </si>
  <si>
    <t xml:space="preserve">סייד_אחמד </t>
  </si>
  <si>
    <t xml:space="preserve">אבוגאזי </t>
  </si>
  <si>
    <t xml:space="preserve">נגלה </t>
  </si>
  <si>
    <t xml:space="preserve">ראדה </t>
  </si>
  <si>
    <t xml:space="preserve">זאידה </t>
  </si>
  <si>
    <t xml:space="preserve">נדירה </t>
  </si>
  <si>
    <t xml:space="preserve">עבדללה </t>
  </si>
  <si>
    <t xml:space="preserve">תמימי </t>
  </si>
  <si>
    <t xml:space="preserve">אבויונס </t>
  </si>
  <si>
    <t xml:space="preserve">נור </t>
  </si>
  <si>
    <t>פרחאת-אבופ</t>
  </si>
  <si>
    <t xml:space="preserve">סמר </t>
  </si>
  <si>
    <t xml:space="preserve">לנא </t>
  </si>
  <si>
    <t xml:space="preserve">זהרה </t>
  </si>
  <si>
    <t xml:space="preserve">סאוסן </t>
  </si>
  <si>
    <t xml:space="preserve">מונה </t>
  </si>
  <si>
    <t xml:space="preserve">אלעלי </t>
  </si>
  <si>
    <t xml:space="preserve">לילאוי </t>
  </si>
  <si>
    <t xml:space="preserve">ליא </t>
  </si>
  <si>
    <t xml:space="preserve">סיאח </t>
  </si>
  <si>
    <t xml:space="preserve">זיד </t>
  </si>
  <si>
    <t xml:space="preserve">עפיף </t>
  </si>
  <si>
    <t xml:space="preserve">נאדיה </t>
  </si>
  <si>
    <t xml:space="preserve">סראיאלדין </t>
  </si>
  <si>
    <t xml:space="preserve">תרייה </t>
  </si>
  <si>
    <t>עבדאלק</t>
  </si>
  <si>
    <t xml:space="preserve">רשיד </t>
  </si>
  <si>
    <t xml:space="preserve">פאיז </t>
  </si>
  <si>
    <t xml:space="preserve">דאהש </t>
  </si>
  <si>
    <t xml:space="preserve">שאמל </t>
  </si>
  <si>
    <t xml:space="preserve">ודיעה </t>
  </si>
  <si>
    <t xml:space="preserve">דוחי </t>
  </si>
  <si>
    <t xml:space="preserve">קנג </t>
  </si>
  <si>
    <t xml:space="preserve">אמלה </t>
  </si>
  <si>
    <t xml:space="preserve">חסין </t>
  </si>
  <si>
    <t xml:space="preserve">נדה </t>
  </si>
  <si>
    <t xml:space="preserve">פואד </t>
  </si>
  <si>
    <t xml:space="preserve">וידאד </t>
  </si>
  <si>
    <t xml:space="preserve">ניהאד </t>
  </si>
  <si>
    <t xml:space="preserve">חמזה </t>
  </si>
  <si>
    <t xml:space="preserve">נגם </t>
  </si>
  <si>
    <t xml:space="preserve">זידה </t>
  </si>
  <si>
    <t xml:space="preserve">מועין </t>
  </si>
  <si>
    <t xml:space="preserve">סאלחה </t>
  </si>
  <si>
    <t xml:space="preserve">מארי </t>
  </si>
  <si>
    <t xml:space="preserve">חסיב </t>
  </si>
  <si>
    <t xml:space="preserve">כרמלה </t>
  </si>
  <si>
    <t xml:space="preserve">פאדי </t>
  </si>
  <si>
    <t xml:space="preserve">נגיה </t>
  </si>
  <si>
    <t xml:space="preserve">גבר </t>
  </si>
  <si>
    <t xml:space="preserve">זוהיר </t>
  </si>
  <si>
    <t xml:space="preserve">חליל </t>
  </si>
  <si>
    <t xml:space="preserve">קונטאר </t>
  </si>
  <si>
    <t xml:space="preserve">חמוד </t>
  </si>
  <si>
    <t xml:space="preserve">נאהית </t>
  </si>
  <si>
    <t xml:space="preserve">דאמן </t>
  </si>
  <si>
    <t xml:space="preserve">שריפה </t>
  </si>
  <si>
    <t xml:space="preserve">אליס </t>
  </si>
  <si>
    <t xml:space="preserve">קנוע </t>
  </si>
  <si>
    <t xml:space="preserve">הנא </t>
  </si>
  <si>
    <t xml:space="preserve">מרטה </t>
  </si>
  <si>
    <t xml:space="preserve">עבוד </t>
  </si>
  <si>
    <t xml:space="preserve">מלכה </t>
  </si>
  <si>
    <t xml:space="preserve">בהיה </t>
  </si>
  <si>
    <t xml:space="preserve">מדינה </t>
  </si>
  <si>
    <t xml:space="preserve">עסאם </t>
  </si>
  <si>
    <t xml:space="preserve">חלווה </t>
  </si>
  <si>
    <t xml:space="preserve">דהוד </t>
  </si>
  <si>
    <t xml:space="preserve">איוב </t>
  </si>
  <si>
    <t xml:space="preserve">סאמיה </t>
  </si>
  <si>
    <t xml:space="preserve">זהראלדין </t>
  </si>
  <si>
    <t xml:space="preserve">הדיה </t>
  </si>
  <si>
    <t xml:space="preserve">גקלין </t>
  </si>
  <si>
    <t xml:space="preserve">אחלאם </t>
  </si>
  <si>
    <t xml:space="preserve">נאהדה </t>
  </si>
  <si>
    <t xml:space="preserve">פוזיה </t>
  </si>
  <si>
    <t xml:space="preserve">נהאיה </t>
  </si>
  <si>
    <t>Grand Total</t>
  </si>
  <si>
    <t>אחוז משרה</t>
  </si>
  <si>
    <t>2017/01</t>
  </si>
  <si>
    <t xml:space="preserve">היא </t>
  </si>
  <si>
    <t xml:space="preserve">עטילה </t>
  </si>
  <si>
    <t xml:space="preserve">אלבט </t>
  </si>
  <si>
    <t xml:space="preserve">קאסם </t>
  </si>
  <si>
    <t xml:space="preserve">פירוז </t>
  </si>
  <si>
    <t xml:space="preserve">מייסה </t>
  </si>
  <si>
    <t xml:space="preserve">גאדה </t>
  </si>
  <si>
    <t xml:space="preserve">סאריה </t>
  </si>
  <si>
    <t>חמדאן-להיא</t>
  </si>
  <si>
    <t xml:space="preserve">תמר </t>
  </si>
  <si>
    <t xml:space="preserve">רומבאוט </t>
  </si>
  <si>
    <t xml:space="preserve">שרית </t>
  </si>
  <si>
    <t xml:space="preserve">אתיר </t>
  </si>
  <si>
    <t xml:space="preserve">סברין </t>
  </si>
  <si>
    <t xml:space="preserve">אבועאסי </t>
  </si>
  <si>
    <t xml:space="preserve">לואי </t>
  </si>
  <si>
    <t>בדוי)מנסור</t>
  </si>
  <si>
    <t xml:space="preserve">ליאל </t>
  </si>
  <si>
    <t xml:space="preserve">שאדיה </t>
  </si>
  <si>
    <t xml:space="preserve">חסאן </t>
  </si>
  <si>
    <t xml:space="preserve">והאב </t>
  </si>
  <si>
    <t xml:space="preserve">דקסה </t>
  </si>
  <si>
    <t xml:space="preserve">חוסיסי </t>
  </si>
  <si>
    <t xml:space="preserve">אדם </t>
  </si>
  <si>
    <t xml:space="preserve">נגמה </t>
  </si>
  <si>
    <t xml:space="preserve">ביבאר </t>
  </si>
  <si>
    <t xml:space="preserve">אלשייך </t>
  </si>
  <si>
    <t xml:space="preserve">אינאס </t>
  </si>
  <si>
    <t xml:space="preserve">רובא </t>
  </si>
  <si>
    <t xml:space="preserve">לוזאן </t>
  </si>
  <si>
    <t xml:space="preserve">שיבאני </t>
  </si>
  <si>
    <t xml:space="preserve">לידיה </t>
  </si>
  <si>
    <t xml:space="preserve">סאלח </t>
  </si>
  <si>
    <t>טייפור</t>
  </si>
  <si>
    <t>אומימה</t>
  </si>
  <si>
    <t xml:space="preserve">מרגיה </t>
  </si>
  <si>
    <t xml:space="preserve">רוזין </t>
  </si>
  <si>
    <t xml:space="preserve">שמס </t>
  </si>
  <si>
    <t xml:space="preserve">אשקר </t>
  </si>
  <si>
    <t xml:space="preserve">ופאה </t>
  </si>
  <si>
    <t xml:space="preserve">עדיה </t>
  </si>
  <si>
    <t>עינבאל</t>
  </si>
  <si>
    <t xml:space="preserve">עיסמי </t>
  </si>
  <si>
    <t xml:space="preserve">ופאא </t>
  </si>
  <si>
    <t xml:space="preserve">אבוחמוד </t>
  </si>
  <si>
    <t xml:space="preserve">רנא </t>
  </si>
  <si>
    <t xml:space="preserve">חכים </t>
  </si>
  <si>
    <t xml:space="preserve">גנאן </t>
  </si>
  <si>
    <t xml:space="preserve">רואן </t>
  </si>
  <si>
    <t xml:space="preserve">עראף </t>
  </si>
  <si>
    <t xml:space="preserve">היבא </t>
  </si>
  <si>
    <t xml:space="preserve">חג מנדיה </t>
  </si>
  <si>
    <t xml:space="preserve">אדיב </t>
  </si>
  <si>
    <t xml:space="preserve">זקייה </t>
  </si>
  <si>
    <t>סהכ כללי עלות מעביד 9/17</t>
  </si>
  <si>
    <t>עלות מצטברת 9/17</t>
  </si>
  <si>
    <t>304758634 Total</t>
  </si>
  <si>
    <t>32371500 Total</t>
  </si>
  <si>
    <t>32169137 Total</t>
  </si>
  <si>
    <t>32163602 Total</t>
  </si>
  <si>
    <t>31795462 Total</t>
  </si>
  <si>
    <t>31795457 Total</t>
  </si>
  <si>
    <t>31501922 Total</t>
  </si>
  <si>
    <t>31257635 Total</t>
  </si>
  <si>
    <t>30993796 Total</t>
  </si>
  <si>
    <t>30854360 Total</t>
  </si>
  <si>
    <t>30828943 Total</t>
  </si>
  <si>
    <t>30802134 Total</t>
  </si>
  <si>
    <t>30529461 Total</t>
  </si>
  <si>
    <t>30492671 Total</t>
  </si>
  <si>
    <t>30305535 Total</t>
  </si>
  <si>
    <t>30305481 Total</t>
  </si>
  <si>
    <t>30305092 Total</t>
  </si>
  <si>
    <t>30292548 Total</t>
  </si>
  <si>
    <t>30287672 Total</t>
  </si>
  <si>
    <t>30282635 Total</t>
  </si>
  <si>
    <t>30279365 Total</t>
  </si>
  <si>
    <t>30266159 Total</t>
  </si>
  <si>
    <t>30265944 Total</t>
  </si>
  <si>
    <t>30172477 Total</t>
  </si>
  <si>
    <t>30172182 Total</t>
  </si>
  <si>
    <t>30169548 Total</t>
  </si>
  <si>
    <t>30169103 Total</t>
  </si>
  <si>
    <t>30154519 Total</t>
  </si>
  <si>
    <t>30137813 Total</t>
  </si>
  <si>
    <t>30128112 Total</t>
  </si>
  <si>
    <t>30128061 Total</t>
  </si>
  <si>
    <t>30095375 Total</t>
  </si>
  <si>
    <t>30092629 Total</t>
  </si>
  <si>
    <t>30083634 Total</t>
  </si>
  <si>
    <t>30048390 Total</t>
  </si>
  <si>
    <t>30018623 Total</t>
  </si>
  <si>
    <t>30017481 Total</t>
  </si>
  <si>
    <t>20581909 Total</t>
  </si>
  <si>
    <t>20579819 Total</t>
  </si>
  <si>
    <t>20571566 Total</t>
  </si>
  <si>
    <t>20467774 Total</t>
  </si>
  <si>
    <t>20440824 Total</t>
  </si>
  <si>
    <t>20439570 Total</t>
  </si>
  <si>
    <t>20438475 Total</t>
  </si>
  <si>
    <t>20416636 Total</t>
  </si>
  <si>
    <t>20412261 Total</t>
  </si>
  <si>
    <t>20376327 Total</t>
  </si>
  <si>
    <t>20376309 Total</t>
  </si>
  <si>
    <t>20363723 Total</t>
  </si>
  <si>
    <t>20332162 Total</t>
  </si>
  <si>
    <t>20153184 Total</t>
  </si>
  <si>
    <t>20152285 Total</t>
  </si>
  <si>
    <t>20118879 Total</t>
  </si>
  <si>
    <t>20101925 Total</t>
  </si>
  <si>
    <t>20077265 Total</t>
  </si>
  <si>
    <t>20064680 Total</t>
  </si>
  <si>
    <t>20056779 Total</t>
  </si>
  <si>
    <t>20055794 Total</t>
  </si>
  <si>
    <t>8099260 Total</t>
  </si>
  <si>
    <t>8094430 Total</t>
  </si>
  <si>
    <t>6670746 Total</t>
  </si>
  <si>
    <t>6623133 Total</t>
  </si>
  <si>
    <t>6614470 Total</t>
  </si>
  <si>
    <t>6614401 Total</t>
  </si>
  <si>
    <t>6606771 Total</t>
  </si>
  <si>
    <t>6574078 Total</t>
  </si>
  <si>
    <t>6287487 Total</t>
  </si>
  <si>
    <t>6287104 Total</t>
  </si>
  <si>
    <t>6128021 Total</t>
  </si>
  <si>
    <t>5996497 Total</t>
  </si>
  <si>
    <t>5994911 Total</t>
  </si>
  <si>
    <t>5993069 Total</t>
  </si>
  <si>
    <t>5992866 Total</t>
  </si>
  <si>
    <t>5992863 Total</t>
  </si>
  <si>
    <t>5987470 Total</t>
  </si>
  <si>
    <t>5987092 Total</t>
  </si>
  <si>
    <t>5954395 Total</t>
  </si>
  <si>
    <t>5947985 Total</t>
  </si>
  <si>
    <t>5947278 Total</t>
  </si>
  <si>
    <t>5944923 Total</t>
  </si>
  <si>
    <t>5944922 Total</t>
  </si>
  <si>
    <t>5944912 Total</t>
  </si>
  <si>
    <t>5944901 Total</t>
  </si>
  <si>
    <t>5944677 Total</t>
  </si>
  <si>
    <t>5944505 Total</t>
  </si>
  <si>
    <t>5938514 Total</t>
  </si>
  <si>
    <t>5938504 Total</t>
  </si>
  <si>
    <t>5938201 Total</t>
  </si>
  <si>
    <t>5934908 Total</t>
  </si>
  <si>
    <t>5934878 Total</t>
  </si>
  <si>
    <t>5934536 Total</t>
  </si>
  <si>
    <t>5931960 Total</t>
  </si>
  <si>
    <t>5897797 Total</t>
  </si>
  <si>
    <t>5897615 Total</t>
  </si>
  <si>
    <t>5897607 Total</t>
  </si>
  <si>
    <t>5891124 Total</t>
  </si>
  <si>
    <t>5891062 Total</t>
  </si>
  <si>
    <t>5859254 Total</t>
  </si>
  <si>
    <t>5854368 Total</t>
  </si>
  <si>
    <t>5854289 Total</t>
  </si>
  <si>
    <t>5853061 Total</t>
  </si>
  <si>
    <t>5818955 Total</t>
  </si>
  <si>
    <t>5817510 Total</t>
  </si>
  <si>
    <t>5763021 Total</t>
  </si>
  <si>
    <t>5763019 Total</t>
  </si>
  <si>
    <t>5763017 Total</t>
  </si>
  <si>
    <t>5763016 Total</t>
  </si>
  <si>
    <t>5763010 Total</t>
  </si>
  <si>
    <t>5760408 Total</t>
  </si>
  <si>
    <t>5760108 Total</t>
  </si>
  <si>
    <t>5760050 Total</t>
  </si>
  <si>
    <t>5755856 Total</t>
  </si>
  <si>
    <t>5703234 Total</t>
  </si>
  <si>
    <t>5703171 Total</t>
  </si>
  <si>
    <t>5703154 Total</t>
  </si>
  <si>
    <t>5702429 Total</t>
  </si>
  <si>
    <t>5698805 Total</t>
  </si>
  <si>
    <t>5698570 Total</t>
  </si>
  <si>
    <t>5692217 Total</t>
  </si>
  <si>
    <t>5692116 Total</t>
  </si>
  <si>
    <t>5692004 Total</t>
  </si>
  <si>
    <t>5688223 Total</t>
  </si>
  <si>
    <t>5688075 Total</t>
  </si>
  <si>
    <t>5688074 Total</t>
  </si>
  <si>
    <t>5688038 Total</t>
  </si>
  <si>
    <t>5631784 Total</t>
  </si>
  <si>
    <t>5631600 Total</t>
  </si>
  <si>
    <t>5631585 Total</t>
  </si>
  <si>
    <t>5625919 Total</t>
  </si>
  <si>
    <t>5625907 Total</t>
  </si>
  <si>
    <t>5625888 Total</t>
  </si>
  <si>
    <t>5625702 Total</t>
  </si>
  <si>
    <t>5625625 Total</t>
  </si>
  <si>
    <t>5625612 Total</t>
  </si>
  <si>
    <t>5625569 Total</t>
  </si>
  <si>
    <t>5581774 Total</t>
  </si>
  <si>
    <t>5581656 Total</t>
  </si>
  <si>
    <t>5581635 Total</t>
  </si>
  <si>
    <t>5576214 Total</t>
  </si>
  <si>
    <t>5575149 Total</t>
  </si>
  <si>
    <t>5575111 Total</t>
  </si>
  <si>
    <t>5575110 Total</t>
  </si>
  <si>
    <t>5574954 Total</t>
  </si>
  <si>
    <t>5517367 Total</t>
  </si>
  <si>
    <t>5517362 Total</t>
  </si>
  <si>
    <t>5515992 Total</t>
  </si>
  <si>
    <t>5515873 Total</t>
  </si>
  <si>
    <t>5515862 Total</t>
  </si>
  <si>
    <t>5515856 Total</t>
  </si>
  <si>
    <t>5484140 Total</t>
  </si>
  <si>
    <t>5481949 Total</t>
  </si>
  <si>
    <t>5468927 Total</t>
  </si>
  <si>
    <t>5445944 Total</t>
  </si>
  <si>
    <t>5443641 Total</t>
  </si>
  <si>
    <t>5443621 Total</t>
  </si>
  <si>
    <t>5443083 Total</t>
  </si>
  <si>
    <t>5440423 Total</t>
  </si>
  <si>
    <t>5440403 Total</t>
  </si>
  <si>
    <t>5439348 Total</t>
  </si>
  <si>
    <t>5439344 Total</t>
  </si>
  <si>
    <t>5387559 Total</t>
  </si>
  <si>
    <t>5371560 Total</t>
  </si>
  <si>
    <t>5251624 Total</t>
  </si>
  <si>
    <t>5250845 Total</t>
  </si>
  <si>
    <t>5250834 Total</t>
  </si>
  <si>
    <t>5250811 Total</t>
  </si>
  <si>
    <t>5250803 Total</t>
  </si>
  <si>
    <t>5243437 Total</t>
  </si>
  <si>
    <t>5243431 Total</t>
  </si>
  <si>
    <t>5239197 Total</t>
  </si>
  <si>
    <t>5223585 Total</t>
  </si>
  <si>
    <t>5079682 Total</t>
  </si>
  <si>
    <t>5078925 Total</t>
  </si>
  <si>
    <t>5078583 Total</t>
  </si>
  <si>
    <t>5049194 Total</t>
  </si>
  <si>
    <t>5043571 Total</t>
  </si>
  <si>
    <t>4170918 Total</t>
  </si>
  <si>
    <t>4170763 Total</t>
  </si>
  <si>
    <t>4093593 Total</t>
  </si>
  <si>
    <t>4054830 Total</t>
  </si>
  <si>
    <t>4052129 Total</t>
  </si>
  <si>
    <t>4051824 Total</t>
  </si>
  <si>
    <t>4051702 Total</t>
  </si>
  <si>
    <t>4049682 Total</t>
  </si>
  <si>
    <t>4008443 Total</t>
  </si>
  <si>
    <t>3996233 Total</t>
  </si>
  <si>
    <t>3981145 Total</t>
  </si>
  <si>
    <t>3980887 Total</t>
  </si>
  <si>
    <t>3945702 Total</t>
  </si>
  <si>
    <t>3945507 Total</t>
  </si>
  <si>
    <t>3942407 Total</t>
  </si>
  <si>
    <t>3907613 Total</t>
  </si>
  <si>
    <t>3722266 Total</t>
  </si>
  <si>
    <t>3693519 Total</t>
  </si>
  <si>
    <t>3686096 Total</t>
  </si>
  <si>
    <t>3644372 Total</t>
  </si>
  <si>
    <t>3599882 Total</t>
  </si>
  <si>
    <t>3599629 Total</t>
  </si>
  <si>
    <t>3590738 Total</t>
  </si>
  <si>
    <t>3584536 Total</t>
  </si>
  <si>
    <t>3582089 Total</t>
  </si>
  <si>
    <t>3570237 Total</t>
  </si>
  <si>
    <t>3547802 Total</t>
  </si>
  <si>
    <t>3533437 Total</t>
  </si>
  <si>
    <t>3532972 Total</t>
  </si>
  <si>
    <t>3529446 Total</t>
  </si>
  <si>
    <t>3480322 Total</t>
  </si>
  <si>
    <t>3472828 Total</t>
  </si>
  <si>
    <t>3457700 Total</t>
  </si>
  <si>
    <t>3452404 Total</t>
  </si>
  <si>
    <t>3443238 Total</t>
  </si>
  <si>
    <t>3443023 Total</t>
  </si>
  <si>
    <t>3429563 Total</t>
  </si>
  <si>
    <t>3429196 Total</t>
  </si>
  <si>
    <t>3416090 Total</t>
  </si>
  <si>
    <t>3408418 Total</t>
  </si>
  <si>
    <t>3408409 Total</t>
  </si>
  <si>
    <t>3408301 Total</t>
  </si>
  <si>
    <t>3360162 Total</t>
  </si>
  <si>
    <t>3336229 Total</t>
  </si>
  <si>
    <t>3336177 Total</t>
  </si>
  <si>
    <t>3311068 Total</t>
  </si>
  <si>
    <t>3292292 Total</t>
  </si>
  <si>
    <t>3290212 Total</t>
  </si>
  <si>
    <t>3276197 Total</t>
  </si>
  <si>
    <t>3117724 Total</t>
  </si>
  <si>
    <t>3117319 Total</t>
  </si>
  <si>
    <t>2999412 Total</t>
  </si>
  <si>
    <t>2996880 Total</t>
  </si>
  <si>
    <t>2996869 Total</t>
  </si>
  <si>
    <t>2996822 Total</t>
  </si>
  <si>
    <t>2977830 Total</t>
  </si>
  <si>
    <t>2921221 Total</t>
  </si>
  <si>
    <t>2910410 Total</t>
  </si>
  <si>
    <t>2910356 Total</t>
  </si>
  <si>
    <t>2833796 Total</t>
  </si>
  <si>
    <t>2827928 Total</t>
  </si>
  <si>
    <t>2827909 Total</t>
  </si>
  <si>
    <t>2827538 Total</t>
  </si>
  <si>
    <t>2827480 Total</t>
  </si>
  <si>
    <t>2826156 Total</t>
  </si>
  <si>
    <t>2824827 Total</t>
  </si>
  <si>
    <t>2824628 Total</t>
  </si>
  <si>
    <t>2824491 Total</t>
  </si>
  <si>
    <t>2824458 Total</t>
  </si>
  <si>
    <t>2823141 Total</t>
  </si>
  <si>
    <t>2820879 Total</t>
  </si>
  <si>
    <t>2815747 Total</t>
  </si>
  <si>
    <t>2815420 Total</t>
  </si>
  <si>
    <t>2815172 Total</t>
  </si>
  <si>
    <t>2815163 Total</t>
  </si>
  <si>
    <t>2767428 Total</t>
  </si>
  <si>
    <t>2767306 Total</t>
  </si>
  <si>
    <t>2751317 Total</t>
  </si>
  <si>
    <t>2751043 Total</t>
  </si>
  <si>
    <t>2750789 Total</t>
  </si>
  <si>
    <t>2750570 Total</t>
  </si>
  <si>
    <t>2750519 Total</t>
  </si>
  <si>
    <t>2750510 Total</t>
  </si>
  <si>
    <t>2656603 Total</t>
  </si>
  <si>
    <t>2650713 Total</t>
  </si>
  <si>
    <t>2646223 Total</t>
  </si>
  <si>
    <t>2643960 Total</t>
  </si>
  <si>
    <t>2643576 Total</t>
  </si>
  <si>
    <t>2635877 Total</t>
  </si>
  <si>
    <t>2635430 Total</t>
  </si>
  <si>
    <t>2625132 Total</t>
  </si>
  <si>
    <t>2622839 Total</t>
  </si>
  <si>
    <t>2618870 Total</t>
  </si>
  <si>
    <t>2618465 Total</t>
  </si>
  <si>
    <t>2617868 Total</t>
  </si>
  <si>
    <t>2617588 Total</t>
  </si>
  <si>
    <t>2616472 Total</t>
  </si>
  <si>
    <t>2597635 Total</t>
  </si>
  <si>
    <t>2597378 Total</t>
  </si>
  <si>
    <t>2593019 Total</t>
  </si>
  <si>
    <t>2587900 Total</t>
  </si>
  <si>
    <t>2587620 Total</t>
  </si>
  <si>
    <t>2478159 Total</t>
  </si>
  <si>
    <t>2478126 Total</t>
  </si>
  <si>
    <t>2474642 Total</t>
  </si>
  <si>
    <t>2346722 Total</t>
  </si>
  <si>
    <t>2346323 Total</t>
  </si>
  <si>
    <t>2346198 Total</t>
  </si>
  <si>
    <t>2332857 Total</t>
  </si>
  <si>
    <t>2332248 Total</t>
  </si>
  <si>
    <t>2328715 Total</t>
  </si>
  <si>
    <t>2328691 Total</t>
  </si>
  <si>
    <t>2322909 Total</t>
  </si>
  <si>
    <t>2319412 Total</t>
  </si>
  <si>
    <t>2318947 Total</t>
  </si>
  <si>
    <t>2318530 Total</t>
  </si>
  <si>
    <t>2310870 Total</t>
  </si>
  <si>
    <t>2310370 Total</t>
  </si>
  <si>
    <t>2114913 Total</t>
  </si>
  <si>
    <t>2104122 Total</t>
  </si>
  <si>
    <t>2086235 Total</t>
  </si>
  <si>
    <t>2072913 Total</t>
  </si>
  <si>
    <t>2049080 Total</t>
  </si>
  <si>
    <t>2049048 Total</t>
  </si>
  <si>
    <t>2021981 Total</t>
  </si>
  <si>
    <t>2021917 Total</t>
  </si>
  <si>
    <t>2021625 Total</t>
  </si>
  <si>
    <t>2021588 Total</t>
  </si>
  <si>
    <t>2021543 Total</t>
  </si>
  <si>
    <t>2021542 Total</t>
  </si>
  <si>
    <t>2021476 Total</t>
  </si>
  <si>
    <t>2021475 Total</t>
  </si>
  <si>
    <t>2021420 Total</t>
  </si>
  <si>
    <t>2021340 Total</t>
  </si>
  <si>
    <t>2021321 Total</t>
  </si>
  <si>
    <t>2021259 Total</t>
  </si>
  <si>
    <t>2021217 Total</t>
  </si>
  <si>
    <t>2021141 Total</t>
  </si>
  <si>
    <t>2021139 Total</t>
  </si>
  <si>
    <t>2021112 Total</t>
  </si>
  <si>
    <t>2016977 Total</t>
  </si>
  <si>
    <t>2016970 Total</t>
  </si>
  <si>
    <t>2016962 Total</t>
  </si>
  <si>
    <t>2016883 Total</t>
  </si>
  <si>
    <t>2016851 Total</t>
  </si>
  <si>
    <t>2016799 Total</t>
  </si>
  <si>
    <t>2016633 Total</t>
  </si>
  <si>
    <t>2013214 Total</t>
  </si>
  <si>
    <t>2013203 Total</t>
  </si>
  <si>
    <t>2012818 Total</t>
  </si>
  <si>
    <t>1153750 Total</t>
  </si>
  <si>
    <t>xxxxx</t>
  </si>
  <si>
    <t>עלות צפויה 10-12</t>
  </si>
  <si>
    <t>לשכת יו"ר</t>
  </si>
  <si>
    <t>שירות ויטרנרי</t>
  </si>
  <si>
    <t>בטחון</t>
  </si>
  <si>
    <t>הנדסה</t>
  </si>
  <si>
    <t>תכנית אור</t>
  </si>
  <si>
    <t>מנהל תרבות</t>
  </si>
  <si>
    <t>נוער</t>
  </si>
  <si>
    <t>סמים</t>
  </si>
  <si>
    <t>שרת</t>
  </si>
  <si>
    <t>מנסור מערוף</t>
  </si>
  <si>
    <t>ש</t>
  </si>
  <si>
    <t>הטף ואתג"ר</t>
  </si>
  <si>
    <t>מדריכים</t>
  </si>
  <si>
    <t>תכנית לאומית</t>
  </si>
  <si>
    <t>עובדים שונים</t>
  </si>
  <si>
    <t>מורים</t>
  </si>
  <si>
    <t>תקן 2019</t>
  </si>
  <si>
    <t>ביצוע יחסי</t>
  </si>
  <si>
    <t>שריון יחסי</t>
  </si>
  <si>
    <t>ביצוע + שריון יחסי</t>
  </si>
  <si>
    <t>השתתפות קרן היטל השבחה מח.הנדס</t>
  </si>
  <si>
    <t>החזר פלפון/טלפון עובדים</t>
  </si>
  <si>
    <t>החזר הסעות אורט</t>
  </si>
  <si>
    <t>החזר הסעות רשת אורט-סגור</t>
  </si>
  <si>
    <t>מיתוג ותיירות -משרד התיירות</t>
  </si>
  <si>
    <t>מינהל רווחה</t>
  </si>
  <si>
    <t>טיפולים פסיכולוגיים ילדים בסיכ</t>
  </si>
  <si>
    <t>קבוצת הורים לגיל הרך</t>
  </si>
  <si>
    <t>קבוצת נשים חד הוריות</t>
  </si>
  <si>
    <t>נשים החיים בצל האלימות</t>
  </si>
  <si>
    <t>משפחות במצוקה נשים במצוקה</t>
  </si>
  <si>
    <t>תיאטרון קהילתי ילדים נכים</t>
  </si>
  <si>
    <t>שבוע הזקן</t>
  </si>
  <si>
    <t>גיבוש והפגות לצוות עובדי לשכה</t>
  </si>
  <si>
    <t>פעולות ארגוניות עובדי לשכה</t>
  </si>
  <si>
    <t>ציוד משרדי הנהלה</t>
  </si>
  <si>
    <t>עתון הארץ מנוי</t>
  </si>
  <si>
    <t>רכב מנהלי</t>
  </si>
  <si>
    <t>פרסום,עיתונות ויחסי ציבור</t>
  </si>
  <si>
    <t>פרסום מכרזים תברים וכוח אדם</t>
  </si>
  <si>
    <t>חומרים ודברי ניקיון</t>
  </si>
  <si>
    <t>הוצאות משרדיות ושונות</t>
  </si>
  <si>
    <t>השתלמויות כללי עובדי רשות</t>
  </si>
  <si>
    <t>שכר ראש מועצה</t>
  </si>
  <si>
    <t>אשל וכיבודים</t>
  </si>
  <si>
    <t>דמי חב שלטון מקומי ופורום דרוז</t>
  </si>
  <si>
    <t>סלקום עובדי מועצה</t>
  </si>
  <si>
    <t>עובדי מועצה-סלקום</t>
  </si>
  <si>
    <t>שכירות רכב-ראש רשות</t>
  </si>
  <si>
    <t>שכר עובדי לשכה</t>
  </si>
  <si>
    <t>השתתפות בפנסיה גמלאות מ.אוצר</t>
  </si>
  <si>
    <t>שכר מבקר</t>
  </si>
  <si>
    <t>הוצ מבקר דמי חבר והשתלמויות</t>
  </si>
  <si>
    <t>שכר מזכיר ומזכירתו</t>
  </si>
  <si>
    <t>חשמל ומים מוסדות מועצה</t>
  </si>
  <si>
    <t>חשמל בנין המועצה</t>
  </si>
  <si>
    <t>מים מוסדות מועצה</t>
  </si>
  <si>
    <t>תקשורת ואחזקת מערכות נוכחות</t>
  </si>
  <si>
    <t>שכירות מכונות הדפסה גסטטנרטק</t>
  </si>
  <si>
    <t>הוצאות תקשורת בזק אינטרנט ואתר</t>
  </si>
  <si>
    <t>הוצאות משפטיות-אגרות וחוות דעת</t>
  </si>
  <si>
    <t>שכ"ט יועצים משפטיים</t>
  </si>
  <si>
    <t>משפטיות פסקי דין</t>
  </si>
  <si>
    <t>אגרות תביעות משפטיות וגבייה</t>
  </si>
  <si>
    <t>גזברות-ציוד משרדי</t>
  </si>
  <si>
    <t>קבלניות הנהלת חשבונות</t>
  </si>
  <si>
    <t>שכר חשב השכר</t>
  </si>
  <si>
    <t>שכר מנהל גבייה</t>
  </si>
  <si>
    <t>שכ"ד גביה</t>
  </si>
  <si>
    <t>הוצ חשמל גביה</t>
  </si>
  <si>
    <t>גבייה חשמל</t>
  </si>
  <si>
    <t>גביה תקשורת</t>
  </si>
  <si>
    <t>גביה קבלניות - חברת גביה</t>
  </si>
  <si>
    <t>מדידות סקר נכסים</t>
  </si>
  <si>
    <t>עמלות וריבית בנקים</t>
  </si>
  <si>
    <t>הוצאות מימון + תיק איחוד</t>
  </si>
  <si>
    <t>מימון תיק איחוד וריבית ספקים ן</t>
  </si>
  <si>
    <t>ריבית משיכת יתר</t>
  </si>
  <si>
    <t>הוצאות רבית קרן שיקום</t>
  </si>
  <si>
    <t>מלוות קרן</t>
  </si>
  <si>
    <t>מלוות ריבית</t>
  </si>
  <si>
    <t>מלוות הצמדה</t>
  </si>
  <si>
    <t>הבראה מינהלי</t>
  </si>
  <si>
    <t>תברואה - הוצ' דלק</t>
  </si>
  <si>
    <t>תברואה-שכירות רכב</t>
  </si>
  <si>
    <t>שכר מנהל תברואה</t>
  </si>
  <si>
    <t>שכר ניקוי רחובות</t>
  </si>
  <si>
    <t>קבלניות אשפה</t>
  </si>
  <si>
    <t>עבודות מנוף+רמ סע פינוי פסולת</t>
  </si>
  <si>
    <t>חשמל וחומרים כבישים ושונות</t>
  </si>
  <si>
    <t>הדברה וחומרים</t>
  </si>
  <si>
    <t>שמירה וביטחון הנהלה</t>
  </si>
  <si>
    <t>השתתפות המועצה בתב"ר</t>
  </si>
  <si>
    <t>הג"א ארצי שעת חירום</t>
  </si>
  <si>
    <t>כיבוי אש השתתפויות</t>
  </si>
  <si>
    <t>הנדסה-חומרים ודלק</t>
  </si>
  <si>
    <t>הוצ" דלק ואחזקת ציוד הנדסה</t>
  </si>
  <si>
    <t>דלק ואחזקת ציוד הנדסה</t>
  </si>
  <si>
    <t>מחפרון עבודות הנדסה</t>
  </si>
  <si>
    <t>השתתפות באבטחת יו"ר ועדת רכס ה</t>
  </si>
  <si>
    <t>השתת' בתקציב הועדה המקומית</t>
  </si>
  <si>
    <t>מחסן-תקשורתhttps://portal4.lad</t>
  </si>
  <si>
    <t>שכר מח' אחזקת נכסים</t>
  </si>
  <si>
    <t>כבישים תחזוקה ,חמרים וחשמל</t>
  </si>
  <si>
    <t>תחזוקה-הוצאות דלק</t>
  </si>
  <si>
    <t>תאורת רחובות-חשמל</t>
  </si>
  <si>
    <t>בטיחות בדרכים-רשות לאומית</t>
  </si>
  <si>
    <t>בטיחות קבלניות</t>
  </si>
  <si>
    <t>רשות ניקוז כרמל+קישון -השתתפות</t>
  </si>
  <si>
    <t>השתתפות מבוא הכרמל-פארק התעשיה</t>
  </si>
  <si>
    <t>בתי קברות-מים</t>
  </si>
  <si>
    <t>השתת' תב"רים ציבוריים</t>
  </si>
  <si>
    <t>חגיגות וארועים</t>
  </si>
  <si>
    <t>ביטוח מועצה -ביטוחים</t>
  </si>
  <si>
    <t>השתתפות עצמית מועצה תביעות ביט</t>
  </si>
  <si>
    <t>השתתפות תב"ר</t>
  </si>
  <si>
    <t>חינוך-מרכיבי ביטחון</t>
  </si>
  <si>
    <t>חינוך-תקשורת</t>
  </si>
  <si>
    <t>מלגות</t>
  </si>
  <si>
    <t>שירותי מנב"ס</t>
  </si>
  <si>
    <t>ציוד בתי ספר יסןדי</t>
  </si>
  <si>
    <t>תוכנית יבלים</t>
  </si>
  <si>
    <t>גנ"י חומרים והעשרה</t>
  </si>
  <si>
    <t>הצטיידות גנים</t>
  </si>
  <si>
    <t>הצטידות גנים</t>
  </si>
  <si>
    <t>גני ילדים יוח"א שכר</t>
  </si>
  <si>
    <t>הט"ף ואתגר שכר</t>
  </si>
  <si>
    <t>חנוך מיוחד גן טפולי-שכר</t>
  </si>
  <si>
    <t>גני ילדים שכ"ד</t>
  </si>
  <si>
    <t>גני ילדים חשמל- הועבר ל 431</t>
  </si>
  <si>
    <t>גני ילדים חשמל</t>
  </si>
  <si>
    <t>גני ילדים מים</t>
  </si>
  <si>
    <t>צהרונים-הזנה וציוד</t>
  </si>
  <si>
    <t>גני ילדים ט.חובה-תקשורת בזק</t>
  </si>
  <si>
    <t>גננות עובדות מדינה</t>
  </si>
  <si>
    <t>מרכז נוער ישובי-שכר</t>
  </si>
  <si>
    <t>מרכז נוער ישובי פעילות</t>
  </si>
  <si>
    <t>מרכז נוער ישוביים</t>
  </si>
  <si>
    <t>הט"ף ואתגר  פעילויות</t>
  </si>
  <si>
    <t>מיל"ת ישובי</t>
  </si>
  <si>
    <t>פנימיות יום מיל"ת יישובי</t>
  </si>
  <si>
    <t>תוכנית אור שכר</t>
  </si>
  <si>
    <t>יחידת נוער במרחב הפתוח-שכר</t>
  </si>
  <si>
    <t>יחידת נוער במרחב הפתוח-פעילות</t>
  </si>
  <si>
    <t>תכנית ראשית - תוכנית</t>
  </si>
  <si>
    <t>עוזרות ביוח"א</t>
  </si>
  <si>
    <t>בי"ס יסודי אלאישראק-שכ"ד</t>
  </si>
  <si>
    <t>חשמל ומים-בתי"ס יסודיים</t>
  </si>
  <si>
    <t>אחזקת מעלית ב"ס יסודי ב'</t>
  </si>
  <si>
    <t>טלפון ותקשורת בתי ספר נ.עצמי</t>
  </si>
  <si>
    <t>ב"ס יסודי חשמל</t>
  </si>
  <si>
    <t>הצטידות בתי ספר יסודיים</t>
  </si>
  <si>
    <t>קבלניות שיפוצי קיץ</t>
  </si>
  <si>
    <t>חשמל בי"ס ב החזר אולם</t>
  </si>
  <si>
    <t>שכר עובדי ניקיון בי"ס יסודיים</t>
  </si>
  <si>
    <t>הזנת תלמידים-ניכוי</t>
  </si>
  <si>
    <t>הקצבה ב"ס יסודי א'-נאיף מנסור</t>
  </si>
  <si>
    <t>שירותי מנב"ס בתי ספר יסודיים</t>
  </si>
  <si>
    <t>שכר נקיון מוסדות חנוך</t>
  </si>
  <si>
    <t>הקצבה  לב"ס יסודי ב'</t>
  </si>
  <si>
    <t>הקצבה לבי"ס יסודי ג'</t>
  </si>
  <si>
    <t>אגרת תלמידי חוץ</t>
  </si>
  <si>
    <t>סייעות כיתתיות ותגבור-שכר</t>
  </si>
  <si>
    <t>חינוך מיוחד-מים</t>
  </si>
  <si>
    <t>שכר חינוך מיוחד -סייעות צמודות</t>
  </si>
  <si>
    <t>פרוייקטים חינוכיים</t>
  </si>
  <si>
    <t>שכר חט"ב</t>
  </si>
  <si>
    <t>בי"ס חט"ב אלאשראק שכ"ד</t>
  </si>
  <si>
    <t>חט"ב-תקשורת</t>
  </si>
  <si>
    <t>הקצבה לב"ס חט"ב-</t>
  </si>
  <si>
    <t>הקצבה לב"ס חט"ב אלאשראק</t>
  </si>
  <si>
    <t>הצטידות חט"ב</t>
  </si>
  <si>
    <t>שכר אלאשראק</t>
  </si>
  <si>
    <t>שכר תיכון אלאשראק מורים</t>
  </si>
  <si>
    <t>שכר קב"ט מוסדות חנוך</t>
  </si>
  <si>
    <t>אבטחת מוסדות חינוך בתי ספר</t>
  </si>
  <si>
    <t>שכר פסג"ה</t>
  </si>
  <si>
    <t>השתתפות מ. חינוך-פסג"ה הצטיידו</t>
  </si>
  <si>
    <t>שכר שירות פסיכולוגי</t>
  </si>
  <si>
    <t>שרות פסיכולוגי -מים</t>
  </si>
  <si>
    <t>ציוד יסודי וחומרים שירות פסיכו</t>
  </si>
  <si>
    <t>מרכז פסיכולוגי-תקשורת</t>
  </si>
  <si>
    <t>שפ"י חומרים וספרים</t>
  </si>
  <si>
    <t>שכר מעדונית משותפת חינוכית</t>
  </si>
  <si>
    <t>שכ"ד מועדוניות חינוכית  משותפת</t>
  </si>
  <si>
    <t>הזנה וחומרים מועדוניות חינוך</t>
  </si>
  <si>
    <t>שכר רווחה חינוכית פרויקטים</t>
  </si>
  <si>
    <t>רווחה חינוכית-פעילות</t>
  </si>
  <si>
    <t>הסעות תלמידים רגיל</t>
  </si>
  <si>
    <t>הסעות תלמידים חינוך מיוחד</t>
  </si>
  <si>
    <t>מתי"א חשמל-הועבר</t>
  </si>
  <si>
    <t>מתי"א חשמל</t>
  </si>
  <si>
    <t>מתי"א מים</t>
  </si>
  <si>
    <t>תקשורת מתי"א</t>
  </si>
  <si>
    <t>מתי"א הצטיידות משרד חחינוך</t>
  </si>
  <si>
    <t>מתי"א תמיכה</t>
  </si>
  <si>
    <t>שכר מתי"א</t>
  </si>
  <si>
    <t>שכ"ד מתי"א</t>
  </si>
  <si>
    <t>קייטנות חופש גדול</t>
  </si>
  <si>
    <t>קייטנות שכר</t>
  </si>
  <si>
    <t>ת.תקשוב-קיזוז רשויות</t>
  </si>
  <si>
    <t>הבראה חינוך</t>
  </si>
  <si>
    <t>שכר תרבות</t>
  </si>
  <si>
    <t>הוצאות קישוט חגים</t>
  </si>
  <si>
    <t>תרבות פרויקטים שונים</t>
  </si>
  <si>
    <t>שכר ספרית מקצועית</t>
  </si>
  <si>
    <t>מתנ"ס-שכר</t>
  </si>
  <si>
    <t>שכ"ד בית נוער</t>
  </si>
  <si>
    <t>חשמל-מתנ"ס</t>
  </si>
  <si>
    <t>גיל רך-שכר</t>
  </si>
  <si>
    <t>גיל רך טלפון וחשמל שונות</t>
  </si>
  <si>
    <t>שכר עיר ללא אלימות ומלחמה בסמי</t>
  </si>
  <si>
    <t>חשמל ומים ארכיון מועצה</t>
  </si>
  <si>
    <t>פעולות וחומרים ספורט</t>
  </si>
  <si>
    <t>שכר תחנת אם-בריאות</t>
  </si>
  <si>
    <t>שכ"ד תחנת אם וילד</t>
  </si>
  <si>
    <t>תחנת אם וילד-חשמל ומים</t>
  </si>
  <si>
    <t>תחנת אם וילד-מים</t>
  </si>
  <si>
    <t>מד"א חשמל ומים</t>
  </si>
  <si>
    <t>מד"א חשמל</t>
  </si>
  <si>
    <t>מד"א השתתפות-נה"ז+נט"ן</t>
  </si>
  <si>
    <t>שכ"ד רווחה ויד שרה</t>
  </si>
  <si>
    <t>חשמל ומים</t>
  </si>
  <si>
    <t>חשמל רווחה</t>
  </si>
  <si>
    <t>מים רווחה</t>
  </si>
  <si>
    <t>ציוד משרדי רווחה</t>
  </si>
  <si>
    <t>הוצאות תקשורת לשכת רוווחה</t>
  </si>
  <si>
    <t>הוצ' אחרות</t>
  </si>
  <si>
    <t>נתיבים להורות-שכר</t>
  </si>
  <si>
    <t>מע"ש-שכר</t>
  </si>
  <si>
    <t>סיוע חד פעמי לחימום</t>
  </si>
  <si>
    <t>סיוע למשפחה עם ילדים</t>
  </si>
  <si>
    <t>שכ"ד מועדוניות רווחה אנטנסיבית</t>
  </si>
  <si>
    <t>מועדוניות-חשמל</t>
  </si>
  <si>
    <t>מועדוניות אינטנסיב-הזנה ושונות</t>
  </si>
  <si>
    <t>נתיבים להורות פעילות</t>
  </si>
  <si>
    <t>מועדוניות אנטנסיבית שכ"ד</t>
  </si>
  <si>
    <t>מעדוניות משותפות הזנה</t>
  </si>
  <si>
    <t>טיפול בפגיעות מניות</t>
  </si>
  <si>
    <t>ת.לאומית ילד ונוער</t>
  </si>
  <si>
    <t>שירות לזקן-שכירות</t>
  </si>
  <si>
    <t>אחזקת זקנים במעונות</t>
  </si>
  <si>
    <t>שירות לזקן-חשמל ומים</t>
  </si>
  <si>
    <t>מועדונים לזקנים</t>
  </si>
  <si>
    <t>טיפול בזקן בקהילה</t>
  </si>
  <si>
    <t>פעילות לזקן דרוזי</t>
  </si>
  <si>
    <t>טיפול באזרח ותיק</t>
  </si>
  <si>
    <t>מרכזי ועדות חוק סיעוד</t>
  </si>
  <si>
    <t>סידור במעונות - מש"ה</t>
  </si>
  <si>
    <t>מ.יום ותעסוקה לבוגרי</t>
  </si>
  <si>
    <t>מע"שים שכר</t>
  </si>
  <si>
    <t>מע"ש תקשורת</t>
  </si>
  <si>
    <t>הובלת עבודת חניכים מע"ש</t>
  </si>
  <si>
    <t>מרכז יום טיפולי -מש"ה</t>
  </si>
  <si>
    <t>מרכז יום טיפולי מש"ה</t>
  </si>
  <si>
    <t>הזנה ושונות מע"ש</t>
  </si>
  <si>
    <t>שירותים תומכים למפגר</t>
  </si>
  <si>
    <t>נופשונים - מש"ה</t>
  </si>
  <si>
    <t>הדרכת עוור ובני ביתו</t>
  </si>
  <si>
    <t>מס. יום למוגבל</t>
  </si>
  <si>
    <t>מ. יום שיקומי לנכים</t>
  </si>
  <si>
    <t>שיקום נכים בקהילה</t>
  </si>
  <si>
    <t>מרכז איבחון ושיקום נכים בקהילה</t>
  </si>
  <si>
    <t>מועדונים לעיוור</t>
  </si>
  <si>
    <t>טיפול באלכוהולסטים</t>
  </si>
  <si>
    <t>מגזר דרוזי עבודה בקהילה</t>
  </si>
  <si>
    <t>הבראה רווחה</t>
  </si>
  <si>
    <t>מועצה דתית-מים-הועבר</t>
  </si>
  <si>
    <t>מוסדות דת מים</t>
  </si>
  <si>
    <t>השתתפות תאגיד תמיר</t>
  </si>
  <si>
    <t>השתתפות א.סביבה תאגיד חיפה</t>
  </si>
  <si>
    <t>איכות הסביבה -סביבה ירוקה</t>
  </si>
  <si>
    <t>שכר משק המים וביוב</t>
  </si>
  <si>
    <t>מים-תיקונים</t>
  </si>
  <si>
    <t>התקנות מדי מים</t>
  </si>
  <si>
    <t>מחלקת מים-הוצאות דלק</t>
  </si>
  <si>
    <t>שכירות רכב מח' מים</t>
  </si>
  <si>
    <t>קבלניות מח' מים</t>
  </si>
  <si>
    <t>קנית מים</t>
  </si>
  <si>
    <t>מעל לזכויות מקורות</t>
  </si>
  <si>
    <t>קבלניות מחפרון</t>
  </si>
  <si>
    <t>חשמל-תחנת שאיבה</t>
  </si>
  <si>
    <t>החלפת שעוני מים</t>
  </si>
  <si>
    <t>שכ"ד מחסן מרכזי</t>
  </si>
  <si>
    <t>חשמל ומים מחסן-הועבר</t>
  </si>
  <si>
    <t>שיפוץ מכון שאיבה</t>
  </si>
  <si>
    <t>חשמל-מכון שפכים</t>
  </si>
  <si>
    <t>ביוב ובוצה - מכון שאיבה חוף הכ</t>
  </si>
  <si>
    <t>שאיבת בורות ומכון שאיבה</t>
  </si>
  <si>
    <t>הוצ לטיפול במשק המים</t>
  </si>
  <si>
    <t>הוצ' בגין שנים קודמות</t>
  </si>
  <si>
    <t>הוצ' שנים קודמות הסדר ספקים</t>
  </si>
  <si>
    <t>הוצ' עודפות מס הכנסה</t>
  </si>
  <si>
    <t>שכר פנסיונרים</t>
  </si>
  <si>
    <t>הוצ פרישה ופיצוים</t>
  </si>
  <si>
    <t>העברה לכיסוי גרעון מצטבר</t>
  </si>
  <si>
    <t>הוצ מותנות</t>
  </si>
  <si>
    <t>מרכיבי ביטחון</t>
  </si>
  <si>
    <t>שרת חדש 2018-2019</t>
  </si>
  <si>
    <t>מנהל חינוך חדש</t>
  </si>
  <si>
    <t>גן טיפולי</t>
  </si>
  <si>
    <t>פסגה</t>
  </si>
  <si>
    <t>קב"ס</t>
  </si>
  <si>
    <t>611100 סה"כ</t>
  </si>
  <si>
    <t>611200 סה"כ</t>
  </si>
  <si>
    <t>612000 סה"כ</t>
  </si>
  <si>
    <t>613000 סה"כ</t>
  </si>
  <si>
    <t>615000 סה"כ</t>
  </si>
  <si>
    <t>615100 סה"כ</t>
  </si>
  <si>
    <t>621000 סה"כ</t>
  </si>
  <si>
    <t>621500 סה"כ</t>
  </si>
  <si>
    <t>623000 סה"כ</t>
  </si>
  <si>
    <t>711100 סה"כ</t>
  </si>
  <si>
    <t>712200 סה"כ</t>
  </si>
  <si>
    <t>713000 סה"כ</t>
  </si>
  <si>
    <t>713300 סה"כ</t>
  </si>
  <si>
    <t>714100 סה"כ</t>
  </si>
  <si>
    <t>721000 סה"כ</t>
  </si>
  <si>
    <t>731000 סה"כ</t>
  </si>
  <si>
    <t>742000 סה"כ</t>
  </si>
  <si>
    <t>742200 סה"כ</t>
  </si>
  <si>
    <t>811000 סה"כ</t>
  </si>
  <si>
    <t>812200 סה"כ</t>
  </si>
  <si>
    <t>812201 סה"כ</t>
  </si>
  <si>
    <t>812202 סה"כ</t>
  </si>
  <si>
    <t>812203 סה"כ</t>
  </si>
  <si>
    <t>812205 סה"כ</t>
  </si>
  <si>
    <t>812215 סה"כ</t>
  </si>
  <si>
    <t>812300 סה"כ</t>
  </si>
  <si>
    <t>812301 סה"כ</t>
  </si>
  <si>
    <t>812502 סה"כ</t>
  </si>
  <si>
    <t>812512 סה"כ</t>
  </si>
  <si>
    <t>812513 סה"כ</t>
  </si>
  <si>
    <t>812600 סה"כ</t>
  </si>
  <si>
    <t>813200 סה"כ</t>
  </si>
  <si>
    <t>813201 סה"כ</t>
  </si>
  <si>
    <t>813202 סה"כ</t>
  </si>
  <si>
    <t>813204 סה"כ</t>
  </si>
  <si>
    <t>813300 סה"כ</t>
  </si>
  <si>
    <t>813301 סה"כ</t>
  </si>
  <si>
    <t>813310 סה"כ</t>
  </si>
  <si>
    <t>813320 סה"כ</t>
  </si>
  <si>
    <t>813340 סה"כ</t>
  </si>
  <si>
    <t>814000 סה"כ</t>
  </si>
  <si>
    <t>815200 סה"כ</t>
  </si>
  <si>
    <t>817100 סה"כ</t>
  </si>
  <si>
    <t>817120 סה"כ</t>
  </si>
  <si>
    <t>817200 סה"כ</t>
  </si>
  <si>
    <t>817300 סה"כ</t>
  </si>
  <si>
    <t>817600 סה"כ</t>
  </si>
  <si>
    <t>817700 סה"כ</t>
  </si>
  <si>
    <t>817800 סה"כ</t>
  </si>
  <si>
    <t>817910 סה"כ</t>
  </si>
  <si>
    <t>819000 סה"כ</t>
  </si>
  <si>
    <t>823000 סה"כ</t>
  </si>
  <si>
    <t>824000 סה"כ</t>
  </si>
  <si>
    <t>825000 סה"כ</t>
  </si>
  <si>
    <t>828100 סה"כ</t>
  </si>
  <si>
    <t>829000 סה"כ</t>
  </si>
  <si>
    <t>832400 סה"כ</t>
  </si>
  <si>
    <t>841000 סה"כ</t>
  </si>
  <si>
    <t>841001 סה"כ</t>
  </si>
  <si>
    <t>841300 סה"כ</t>
  </si>
  <si>
    <t>845200 סה"כ</t>
  </si>
  <si>
    <t>913000 סה"כ</t>
  </si>
  <si>
    <t>996000 סה"כ</t>
  </si>
  <si>
    <t>גני ילדים ט.ח</t>
  </si>
  <si>
    <t>שכר גני ילדים ט.ח סייעות שניה</t>
  </si>
  <si>
    <t>ביצוע 9.2017</t>
  </si>
  <si>
    <t>ביצוע 2017</t>
  </si>
  <si>
    <t>קנסות חניה</t>
  </si>
  <si>
    <t>פקח</t>
  </si>
  <si>
    <t>מנהל משאבי אנוש</t>
  </si>
  <si>
    <t>ע.ניקיון</t>
  </si>
  <si>
    <t>ספריה</t>
  </si>
  <si>
    <t>מנהל ספריה</t>
  </si>
  <si>
    <t>מנהל ארנונה</t>
  </si>
  <si>
    <t>חרופי</t>
  </si>
  <si>
    <t>חנא</t>
  </si>
  <si>
    <t>מילוי מקום יום שישי</t>
  </si>
  <si>
    <t>01.06.2018</t>
  </si>
  <si>
    <t>01.06.2019</t>
  </si>
  <si>
    <t>סכום</t>
  </si>
  <si>
    <t>פרעון קרן לתקופה</t>
  </si>
  <si>
    <t>ריבית</t>
  </si>
  <si>
    <t>סה"כ פרעון 2018</t>
  </si>
  <si>
    <t>סה"כ פרעון 2019</t>
  </si>
  <si>
    <t>רכב ודלק</t>
  </si>
  <si>
    <t>פקח עירוני</t>
  </si>
  <si>
    <t>שכר סייעת גני ילדים חובה</t>
  </si>
  <si>
    <t xml:space="preserve">שכר גני ילדים יוח"א </t>
  </si>
  <si>
    <t>שכר מחליפות יום שישי</t>
  </si>
  <si>
    <t xml:space="preserve">שכר סייעת אם גני ילדים ט.ח </t>
  </si>
  <si>
    <t>שכר  סייעת גן טיפולי</t>
  </si>
  <si>
    <t xml:space="preserve">שכר סייעות כיתתיות </t>
  </si>
  <si>
    <t>שכר סייעות תגבור</t>
  </si>
  <si>
    <t>מנהל אחזקה ואחראי ביטוחים</t>
  </si>
  <si>
    <t>חשמל אולם ספורט</t>
  </si>
  <si>
    <t>מים אולם ספורט</t>
  </si>
  <si>
    <t>סייעות מיל"ת</t>
  </si>
  <si>
    <t>שכר סייעות מיל"ת</t>
  </si>
  <si>
    <t>ניקיון יסודי</t>
  </si>
  <si>
    <t>סייעות</t>
  </si>
  <si>
    <t>הטף ואתגר</t>
  </si>
  <si>
    <t>מרחב פתוח</t>
  </si>
  <si>
    <t>בית ספר יסודי</t>
  </si>
  <si>
    <t>יסודי</t>
  </si>
  <si>
    <t>מזכירים</t>
  </si>
  <si>
    <t>סייעות תגבור</t>
  </si>
  <si>
    <t>סייעות צמודות</t>
  </si>
  <si>
    <t>ליווי הסעות</t>
  </si>
  <si>
    <t>עובדי חט"ב</t>
  </si>
  <si>
    <t>קב"ט מוסדות חינוך</t>
  </si>
  <si>
    <t>מועדוניות חינוך</t>
  </si>
  <si>
    <t>מתי"א</t>
  </si>
  <si>
    <t>רווחה מנהלי</t>
  </si>
  <si>
    <t>מועדונית רווחה</t>
  </si>
  <si>
    <t>מסגרת תקציב 2018</t>
  </si>
  <si>
    <t>חריגים בשנת 2018</t>
  </si>
  <si>
    <t>תעריפי  ארנונה  למגורים</t>
  </si>
  <si>
    <t>נספח ב'  -  תוכנית פיתוח רב שנתית  לשנים 2018</t>
  </si>
  <si>
    <t>אנו החתומים מטה מצהירים בזאת בנוגע להכנסה בסך של 866 אלפי ש"ח מקרן  לעבודות פיתוח</t>
  </si>
  <si>
    <t>כיסוי גירעון</t>
  </si>
  <si>
    <t>אחראי תחזוקה</t>
  </si>
  <si>
    <t>חופש מידע</t>
  </si>
  <si>
    <t>יועצת קידום מעמד האישה</t>
  </si>
  <si>
    <t>מזכירת אולם ספורט</t>
  </si>
  <si>
    <t>מנהל אתר אינטרנט</t>
  </si>
  <si>
    <t>מנהל מחשוב</t>
  </si>
  <si>
    <t>812500 סה"כ</t>
  </si>
  <si>
    <t xml:space="preserve">ממלאות מקום </t>
  </si>
  <si>
    <t>ומחליפות</t>
  </si>
  <si>
    <t>זריק</t>
  </si>
  <si>
    <t>חמד</t>
  </si>
  <si>
    <t>לובנא</t>
  </si>
  <si>
    <t>אמארה</t>
  </si>
  <si>
    <t>נסר</t>
  </si>
  <si>
    <t>חוא</t>
  </si>
  <si>
    <t>אבו פח'ר</t>
  </si>
  <si>
    <t>שורוק</t>
  </si>
  <si>
    <t>סה"כ סה"כ</t>
  </si>
  <si>
    <t>הנהלת חשבונות</t>
  </si>
  <si>
    <t>יועץ משפטי</t>
  </si>
  <si>
    <t>הכנסות חניה בתשלום</t>
  </si>
  <si>
    <t>הכנסות ממדי מים</t>
  </si>
  <si>
    <t>הוצאות חניה בתשלום</t>
  </si>
  <si>
    <t>סה"כ 28</t>
  </si>
  <si>
    <t>יצירת קשר הורים</t>
  </si>
  <si>
    <t>אכיפה משפטית ארנונה</t>
  </si>
  <si>
    <t>גבית ארנונה מאכיפה משפטית</t>
  </si>
  <si>
    <t>אכיפה משפטית לשילוט</t>
  </si>
  <si>
    <t>גביה מתושבים</t>
  </si>
  <si>
    <t>ביצוע  2017</t>
  </si>
  <si>
    <t xml:space="preserve">הנדסה מחשוב והעתקות </t>
  </si>
  <si>
    <t xml:space="preserve">בטיחות מוסדות חינוך </t>
  </si>
  <si>
    <t>ביטוח תלמיד תשלום הורים</t>
  </si>
  <si>
    <t xml:space="preserve"> ביצוע</t>
  </si>
  <si>
    <t>18-28</t>
  </si>
  <si>
    <t>ביצןע 2016</t>
  </si>
  <si>
    <t>אגרות בניה - רכס הכרמל כולל תוכנית as is</t>
  </si>
  <si>
    <t>תחזוקה ובטיחות כללי</t>
  </si>
  <si>
    <t>תכניות מחלקת הנדסה</t>
  </si>
  <si>
    <t>שם</t>
  </si>
  <si>
    <t>סיאח רכאב</t>
  </si>
  <si>
    <t>חלאוה אלהאם</t>
  </si>
  <si>
    <t>עזמי ליא</t>
  </si>
  <si>
    <t>הלון רחאב</t>
  </si>
  <si>
    <t>מוראד כמיליא</t>
  </si>
  <si>
    <t>אבו פארס סמיר</t>
  </si>
  <si>
    <t>דאמן שריפה</t>
  </si>
  <si>
    <t>שומרי פאדי</t>
  </si>
  <si>
    <t>חג' רנא</t>
  </si>
  <si>
    <t>נסים מנסור</t>
  </si>
  <si>
    <t>אנשראח אבו פארס</t>
  </si>
  <si>
    <t>חנין אבו סעדה</t>
  </si>
  <si>
    <t>עלי חלבי</t>
  </si>
  <si>
    <t>פאתנה סאבא</t>
  </si>
  <si>
    <t>עלא גאבר</t>
  </si>
  <si>
    <t>דיין אסף</t>
  </si>
  <si>
    <t>סואעד מחרז</t>
  </si>
  <si>
    <t>קייטנת אביב וחורף</t>
  </si>
  <si>
    <t>קייטנה אביב וחורף</t>
  </si>
  <si>
    <t>סייד אחמד גוליה</t>
  </si>
  <si>
    <t>75+.75*.25</t>
  </si>
  <si>
    <t>סמך מקצועי</t>
  </si>
  <si>
    <t>הבה</t>
  </si>
  <si>
    <t>בדיקות חינוך</t>
  </si>
  <si>
    <t>50% פעולה 50 % דרוזים</t>
  </si>
  <si>
    <t>אין מימון משרד</t>
  </si>
  <si>
    <t>תאניא</t>
  </si>
  <si>
    <t>מרכז עוצמה</t>
  </si>
  <si>
    <t>100% דרוזים</t>
  </si>
  <si>
    <t>יתד -כח אדם ופעילות</t>
  </si>
  <si>
    <t>מס יום לילד המוגבל</t>
  </si>
  <si>
    <t>טאהא</t>
  </si>
  <si>
    <t>תכנית מיטל מגזר דרוזי</t>
  </si>
  <si>
    <t>מגזר דרוזי-מיטל</t>
  </si>
  <si>
    <t>יתד</t>
  </si>
  <si>
    <t>נושמים לרווחה</t>
  </si>
  <si>
    <t>בטיחות מוסדות מועצה</t>
  </si>
  <si>
    <t xml:space="preserve">פנימיות יום מילת  </t>
  </si>
  <si>
    <t>מועצה מקומית עוספי- הסברים לתקציב 2017-20218</t>
  </si>
  <si>
    <t>2014</t>
  </si>
  <si>
    <t>הכנסות עצמיות</t>
  </si>
  <si>
    <t>הכנסות ארנונה</t>
  </si>
  <si>
    <t>ארנונה שוטף- 2018</t>
  </si>
  <si>
    <t>תוספת - עדכון ארנונה 2018- 2.18%</t>
  </si>
  <si>
    <t>חיוב תוספת בגין סקר נכסים גרעין הכפר- 500 בתים- תוספת 100 לבית לפי 35.72 ₪ מ"ר 80% גבייה ו- 40% הנחה</t>
  </si>
  <si>
    <t>ארנונה שוטף- 2019</t>
  </si>
  <si>
    <t>תוספת- עדכון ארנונה 2019- 2%</t>
  </si>
  <si>
    <t>בתים חדשים בבנייה- 100בתים, 80% גבייה, 20% הנחה</t>
  </si>
  <si>
    <t>ארנונה פיגורים מאכיפה משפטית</t>
  </si>
  <si>
    <t>סכומים של-  50 אלפי ₪ לכל שנה.</t>
  </si>
  <si>
    <t xml:space="preserve">הרשות מתכוונת להאיץ הגשת תביעות משפטיות נגד סרבני גבייה לצורך כך תוקצבו בהוצאות </t>
  </si>
  <si>
    <t xml:space="preserve">המועצה פרסמה מכרז להסדרת מקומות חנייה בתשלום, על פי אומדני המועצה הגבייה הצפוייה </t>
  </si>
  <si>
    <t>הינה כ- 180 אלפי ₪ בשנה</t>
  </si>
  <si>
    <t xml:space="preserve">המועצה התחילה להעמיק אכיפת גבייה של שילוט עסקים, על פי התחזיות המועצה תגיע ליעד </t>
  </si>
  <si>
    <t>התקציב בשנים 2018-2019.</t>
  </si>
  <si>
    <t>הוצ  ואחזקה ציוד הנדסה</t>
  </si>
  <si>
    <t>אחזקת תאורה בכישים</t>
  </si>
  <si>
    <t>קייטנות משרד חינוך- קיץ</t>
  </si>
  <si>
    <t>הכנסות מים</t>
  </si>
  <si>
    <t>החזר ביטוח תלמידים</t>
  </si>
  <si>
    <t>איגוד ערים חיפה - הגנת סביבה</t>
  </si>
  <si>
    <t>הצעת תקציב 2017 בפועל 2014</t>
  </si>
  <si>
    <t xml:space="preserve">הצעת תקציב לשנת 2016 בפועל 2014           </t>
  </si>
  <si>
    <t>תקציב  2019</t>
  </si>
  <si>
    <t>תקציב הפורט משק המים</t>
  </si>
  <si>
    <t>הכנסות מפעל המים והביוב</t>
  </si>
  <si>
    <t>0</t>
  </si>
  <si>
    <t>הוצאות מפעל המים והביוב</t>
  </si>
  <si>
    <t>סה"כ מים (מכלליות אחרות)</t>
  </si>
  <si>
    <t>עודף (גירעון)</t>
  </si>
  <si>
    <t xml:space="preserve">המועצה ביצעה בשלוש השנים האחרונות סקר נכסים הן למגורים והן לעסקים </t>
  </si>
  <si>
    <t>1/1/2019</t>
  </si>
  <si>
    <t>סה"כ  94</t>
  </si>
  <si>
    <t>תקציב 2018-2019</t>
  </si>
  <si>
    <t>טבלה 1: הצעת עדכון התקציב הרגיל  של הרשות המקומית לשנת 2018-2019 (אלפי ₪)</t>
  </si>
  <si>
    <t>הצעת עדכון תקציב מפורטת לשנים 2018-2019 (₪)</t>
  </si>
  <si>
    <t>תמצית נתוני התקציב הרגיל לשנים 2018-2019</t>
  </si>
  <si>
    <t xml:space="preserve">נספח  א'   -   טבלה 3  :  תקציב 2018-2019 בפועל לעומת תקציב 2014 עפ"י תוכנית ההבראה </t>
  </si>
  <si>
    <t>טבלה 3 : תקציב 2018-2019 בפועל לעומת תקציב 2014 עפ"י תכנית הבראה לרשות המקומית (אלפי ₪)</t>
  </si>
  <si>
    <t>נספח  א.1  להצעת עדכון התקציב הרגיל לשנים  2018-2019</t>
  </si>
  <si>
    <t>התקציב הרגיל של הרשות לשנת  2018-2019 נערך והוגש לאישור מליאת מועצת הרשות בהתאם להוראות על פי כל דין .</t>
  </si>
  <si>
    <t xml:space="preserve">התקציב של הרשות לשנים 2018-2019 אושר ע"י מליאת מועצת הרשות בישיבתה מיום ____________  בהתאם להוראות </t>
  </si>
  <si>
    <t xml:space="preserve">מסגרת התקציב הרגיל של הרשות לשנים 2018-2019, המוגשת לאישור משרד הפנים במתכונת הנחיות המשרד, תואמת את </t>
  </si>
  <si>
    <t>נספח  א.2  להצעת עדכון התקציב הרגיל לשנים 2018-2019</t>
  </si>
  <si>
    <t>הרשומה בתקציב הרגיל של הרשות לשנת 2018-2019 כי  :</t>
  </si>
  <si>
    <t>כנגד הכנסה זו ישנו סכום כסף בקרן זו או שסכום כסף זה אמור להתקבל במהלך שנת 2018-2019 ברמת סבירות גבוהה .</t>
  </si>
  <si>
    <t xml:space="preserve">מסגרת התקציב הרגיל של הרשות לשנים 2018-2019, המוגשת לאישור משרד הפנים במתכונת הנחיות המשרד, תואמת </t>
  </si>
  <si>
    <t>את  התקציב הרגיל של הרשות לשנים 2018-2019 שאושר על ידי מליאת מועצת הרשות, כאמור בסעיף 2 לעיל .</t>
  </si>
  <si>
    <t>נספח  ד'  -  ערבויות  תקפות  לשנת  2018-2019</t>
  </si>
  <si>
    <t>סה"כ  27</t>
  </si>
  <si>
    <t>סה"כ 315</t>
  </si>
  <si>
    <t>סה"כ 314</t>
  </si>
  <si>
    <t>סה"כ פיתוח כללי</t>
  </si>
  <si>
    <t>ניקיון יסודי ב</t>
  </si>
  <si>
    <t xml:space="preserve">ניקיון יסודי </t>
  </si>
  <si>
    <t>ניקיון יסודי א</t>
  </si>
  <si>
    <t>ניקיון יסודי ג</t>
  </si>
  <si>
    <t>ניקיון יסודי אלאשראק</t>
  </si>
  <si>
    <t>ניקיון יסודי  חל"ת</t>
  </si>
  <si>
    <t>ניקיון  יסודי ג</t>
  </si>
  <si>
    <t xml:space="preserve">ניקיון יסודי אלאשראק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</si>
</sst>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 * #,##0_ ;_ * \-#,##0_ ;_ * &quot;-&quot;??_ ;_ @_ "/>
    <numFmt numFmtId="165" formatCode="#,##0;\(#,##0\)"/>
    <numFmt numFmtId="166" formatCode="0.000"/>
    <numFmt numFmtId="167" formatCode="0.000;[Red]0.000"/>
    <numFmt numFmtId="168" formatCode="[Blue]#,##0_ ;[Red]\(#,##0\)"/>
    <numFmt numFmtId="169" formatCode="#,##0%;\(#,##0\)%"/>
    <numFmt numFmtId="170" formatCode="#0"/>
    <numFmt numFmtId="171" formatCode="#,##0.0"/>
    <numFmt numFmtId="172" formatCode="0.0"/>
    <numFmt numFmtId="173" formatCode="_ * #,##0.0_ ;_ * \-#,##0.0_ ;_ * &quot;-&quot;??_ ;_ @_ "/>
    <numFmt numFmtId="174" formatCode="#,##0.00000000"/>
  </numFmts>
  <fonts count="165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b/>
      <sz val="8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z val="10"/>
      <name val="David"/>
      <family val="2"/>
      <charset val="177"/>
    </font>
    <font>
      <sz val="9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u/>
      <sz val="10"/>
      <name val="David"/>
      <family val="2"/>
      <charset val="177"/>
    </font>
    <font>
      <b/>
      <sz val="9"/>
      <name val="David"/>
      <family val="2"/>
      <charset val="177"/>
    </font>
    <font>
      <b/>
      <u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name val="Arial (Hebrew)"/>
      <charset val="177"/>
    </font>
    <font>
      <b/>
      <sz val="18"/>
      <name val="David"/>
      <family val="2"/>
      <charset val="177"/>
    </font>
    <font>
      <b/>
      <sz val="14"/>
      <color indexed="9"/>
      <name val="Arial"/>
      <family val="2"/>
      <charset val="177"/>
    </font>
    <font>
      <sz val="30"/>
      <name val="Arial (Hebrew)"/>
      <family val="2"/>
      <charset val="177"/>
    </font>
    <font>
      <b/>
      <sz val="11"/>
      <name val="David Transparent"/>
      <charset val="177"/>
    </font>
    <font>
      <sz val="10"/>
      <name val="Arial"/>
      <family val="2"/>
    </font>
    <font>
      <sz val="8"/>
      <name val="Arial"/>
      <family val="2"/>
    </font>
    <font>
      <b/>
      <sz val="16"/>
      <name val="David"/>
      <family val="2"/>
      <charset val="177"/>
    </font>
    <font>
      <b/>
      <sz val="10"/>
      <color indexed="9"/>
      <name val="Arial"/>
      <family val="2"/>
    </font>
    <font>
      <sz val="10"/>
      <name val="Arial"/>
      <family val="2"/>
    </font>
    <font>
      <b/>
      <u/>
      <sz val="10"/>
      <color indexed="8"/>
      <name val="Arial (Hebrew)"/>
      <family val="2"/>
      <charset val="177"/>
    </font>
    <font>
      <b/>
      <sz val="12"/>
      <name val="Arial (Hebrew)"/>
      <family val="2"/>
      <charset val="177"/>
    </font>
    <font>
      <sz val="13"/>
      <name val="David"/>
      <family val="2"/>
      <charset val="177"/>
    </font>
    <font>
      <sz val="10"/>
      <color indexed="26"/>
      <name val="Arial"/>
      <family val="2"/>
    </font>
    <font>
      <u/>
      <sz val="13"/>
      <name val="David"/>
      <family val="2"/>
      <charset val="177"/>
    </font>
    <font>
      <sz val="8"/>
      <name val="Arial"/>
      <family val="2"/>
    </font>
    <font>
      <b/>
      <u/>
      <sz val="16"/>
      <name val="David"/>
      <family val="2"/>
      <charset val="177"/>
    </font>
    <font>
      <b/>
      <u/>
      <sz val="14"/>
      <name val="David"/>
      <family val="2"/>
      <charset val="177"/>
    </font>
    <font>
      <b/>
      <u/>
      <sz val="20"/>
      <name val="David"/>
      <family val="2"/>
      <charset val="177"/>
    </font>
    <font>
      <sz val="16"/>
      <name val="David"/>
      <family val="2"/>
      <charset val="177"/>
    </font>
    <font>
      <sz val="7"/>
      <name val="David"/>
      <family val="2"/>
      <charset val="177"/>
    </font>
    <font>
      <b/>
      <sz val="13"/>
      <name val="David"/>
      <family val="2"/>
      <charset val="177"/>
    </font>
    <font>
      <sz val="13"/>
      <color indexed="10"/>
      <name val="David"/>
      <family val="2"/>
      <charset val="177"/>
    </font>
    <font>
      <sz val="6"/>
      <name val="David"/>
      <family val="2"/>
      <charset val="177"/>
    </font>
    <font>
      <b/>
      <u/>
      <sz val="13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b/>
      <u/>
      <sz val="11"/>
      <name val="David"/>
      <family val="2"/>
      <charset val="177"/>
    </font>
    <font>
      <sz val="14"/>
      <name val="David"/>
      <family val="2"/>
      <charset val="177"/>
    </font>
    <font>
      <sz val="9"/>
      <name val="Arial"/>
      <family val="2"/>
    </font>
    <font>
      <b/>
      <sz val="48"/>
      <name val="David"/>
      <family val="2"/>
      <charset val="177"/>
    </font>
    <font>
      <b/>
      <sz val="85"/>
      <name val="David"/>
      <family val="2"/>
      <charset val="177"/>
    </font>
    <font>
      <sz val="12"/>
      <color indexed="8"/>
      <name val="David"/>
      <family val="2"/>
      <charset val="177"/>
    </font>
    <font>
      <b/>
      <sz val="14"/>
      <color indexed="8"/>
      <name val="David"/>
      <family val="2"/>
      <charset val="177"/>
    </font>
    <font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name val="David"/>
      <family val="2"/>
      <charset val="177"/>
    </font>
    <font>
      <sz val="10"/>
      <color indexed="8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sz val="10"/>
      <name val="David"/>
      <family val="2"/>
      <charset val="177"/>
    </font>
    <font>
      <b/>
      <sz val="10"/>
      <color indexed="10"/>
      <name val="David"/>
      <family val="2"/>
      <charset val="177"/>
    </font>
    <font>
      <sz val="10"/>
      <color indexed="10"/>
      <name val="David"/>
      <family val="2"/>
      <charset val="177"/>
    </font>
    <font>
      <u/>
      <sz val="10"/>
      <color indexed="12"/>
      <name val="David"/>
      <family val="2"/>
      <charset val="177"/>
    </font>
    <font>
      <b/>
      <u/>
      <sz val="10"/>
      <color indexed="14"/>
      <name val="David"/>
      <family val="2"/>
      <charset val="177"/>
    </font>
    <font>
      <u/>
      <sz val="10"/>
      <color indexed="10"/>
      <name val="David"/>
      <family val="2"/>
      <charset val="177"/>
    </font>
    <font>
      <sz val="10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u/>
      <sz val="11"/>
      <color indexed="8"/>
      <name val="David"/>
      <family val="2"/>
      <charset val="177"/>
    </font>
    <font>
      <b/>
      <sz val="10"/>
      <name val="Arial"/>
      <family val="2"/>
    </font>
    <font>
      <sz val="10"/>
      <color indexed="12"/>
      <name val="David"/>
      <family val="2"/>
      <charset val="177"/>
    </font>
    <font>
      <u/>
      <sz val="10"/>
      <color indexed="14"/>
      <name val="David"/>
      <family val="2"/>
      <charset val="177"/>
    </font>
    <font>
      <sz val="10"/>
      <color indexed="58"/>
      <name val="David"/>
      <family val="2"/>
      <charset val="177"/>
    </font>
    <font>
      <sz val="10"/>
      <color indexed="14"/>
      <name val="David"/>
      <family val="2"/>
      <charset val="177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sz val="11"/>
      <name val="David"/>
      <family val="2"/>
      <charset val="177"/>
    </font>
    <font>
      <sz val="13"/>
      <name val="David"/>
      <family val="2"/>
      <charset val="177"/>
    </font>
    <font>
      <sz val="16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color rgb="FFFF0000"/>
      <name val="David"/>
      <family val="2"/>
      <charset val="177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u/>
      <sz val="14"/>
      <color rgb="FFFF0000"/>
      <name val="David"/>
      <family val="2"/>
      <charset val="177"/>
    </font>
    <font>
      <b/>
      <u/>
      <sz val="14"/>
      <color indexed="58"/>
      <name val="David"/>
      <family val="2"/>
      <charset val="177"/>
    </font>
    <font>
      <b/>
      <u/>
      <sz val="1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u/>
      <sz val="12"/>
      <name val="David"/>
      <family val="2"/>
      <charset val="177"/>
    </font>
    <font>
      <sz val="10"/>
      <name val="Arial"/>
      <family val="2"/>
    </font>
    <font>
      <b/>
      <u/>
      <sz val="11"/>
      <color indexed="10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rgb="FFFF0000"/>
      <name val="David"/>
      <family val="2"/>
      <charset val="177"/>
    </font>
    <font>
      <b/>
      <sz val="14"/>
      <name val="Arial"/>
      <family val="2"/>
      <charset val="177"/>
    </font>
    <font>
      <b/>
      <sz val="24"/>
      <name val="David"/>
      <family val="2"/>
      <charset val="177"/>
    </font>
    <font>
      <b/>
      <sz val="20"/>
      <name val="Arial (Hebrew)"/>
      <family val="2"/>
      <charset val="177"/>
    </font>
    <font>
      <u/>
      <sz val="11"/>
      <name val="David"/>
      <family val="2"/>
      <charset val="177"/>
    </font>
    <font>
      <u/>
      <sz val="12"/>
      <name val="David"/>
      <family val="2"/>
      <charset val="177"/>
    </font>
    <font>
      <b/>
      <u/>
      <sz val="11"/>
      <color indexed="12"/>
      <name val="David"/>
      <family val="2"/>
      <charset val="177"/>
    </font>
    <font>
      <b/>
      <u/>
      <sz val="11"/>
      <color indexed="14"/>
      <name val="David"/>
      <family val="2"/>
      <charset val="177"/>
    </font>
    <font>
      <b/>
      <sz val="11"/>
      <color indexed="58"/>
      <name val="David"/>
      <family val="2"/>
      <charset val="177"/>
    </font>
    <font>
      <sz val="11"/>
      <color indexed="58"/>
      <name val="David"/>
      <family val="2"/>
      <charset val="177"/>
    </font>
    <font>
      <b/>
      <u/>
      <sz val="11"/>
      <color rgb="FF0000FF"/>
      <name val="David"/>
      <family val="2"/>
      <charset val="177"/>
    </font>
    <font>
      <sz val="11"/>
      <color indexed="12"/>
      <name val="David"/>
      <family val="2"/>
      <charset val="177"/>
    </font>
    <font>
      <b/>
      <u/>
      <sz val="11"/>
      <color indexed="58"/>
      <name val="David"/>
      <family val="2"/>
      <charset val="177"/>
    </font>
    <font>
      <sz val="10"/>
      <color theme="0"/>
      <name val="David"/>
      <family val="2"/>
      <charset val="177"/>
    </font>
    <font>
      <sz val="12"/>
      <color theme="0"/>
      <name val="David"/>
      <family val="2"/>
      <charset val="177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8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4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u/>
      <sz val="10"/>
      <color theme="3"/>
      <name val="David"/>
      <family val="2"/>
      <charset val="177"/>
    </font>
    <font>
      <sz val="10"/>
      <color theme="3"/>
      <name val="David"/>
      <family val="2"/>
      <charset val="177"/>
    </font>
    <font>
      <sz val="10"/>
      <name val="David"/>
      <family val="2"/>
    </font>
    <font>
      <b/>
      <sz val="14"/>
      <name val="David"/>
      <family val="2"/>
    </font>
    <font>
      <sz val="10"/>
      <color rgb="FF0000FF"/>
      <name val="David"/>
      <family val="2"/>
      <charset val="177"/>
    </font>
    <font>
      <b/>
      <u/>
      <sz val="12"/>
      <color rgb="FF0000FF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indexed="12"/>
      <name val="David"/>
      <family val="2"/>
      <charset val="177"/>
    </font>
    <font>
      <u/>
      <sz val="11"/>
      <color indexed="12"/>
      <name val="David"/>
      <family val="2"/>
      <charset val="177"/>
    </font>
    <font>
      <b/>
      <u/>
      <sz val="11"/>
      <color rgb="FFFF0000"/>
      <name val="David"/>
      <family val="2"/>
      <charset val="177"/>
    </font>
    <font>
      <u/>
      <sz val="11"/>
      <color indexed="10"/>
      <name val="David"/>
      <family val="2"/>
      <charset val="177"/>
    </font>
    <font>
      <sz val="11"/>
      <color indexed="10"/>
      <name val="David"/>
      <family val="2"/>
      <charset val="177"/>
    </font>
    <font>
      <sz val="11"/>
      <color theme="0"/>
      <name val="David"/>
      <family val="2"/>
      <charset val="177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59"/>
      </top>
      <bottom style="double">
        <color indexed="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ck">
        <color indexed="56"/>
      </left>
      <right style="thick">
        <color indexed="56"/>
      </right>
      <top style="thick">
        <color indexed="56"/>
      </top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56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58"/>
      </top>
      <bottom style="dashed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31" fillId="3" borderId="0" applyNumberFormat="0" applyBorder="0" applyAlignment="0" applyProtection="0"/>
    <xf numFmtId="0" fontId="19" fillId="20" borderId="1" applyNumberFormat="0" applyAlignment="0" applyProtection="0"/>
    <xf numFmtId="0" fontId="32" fillId="21" borderId="2" applyNumberFormat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22" borderId="3" applyBorder="0" applyAlignment="0"/>
    <xf numFmtId="169" fontId="3" fillId="22" borderId="3"/>
    <xf numFmtId="0" fontId="22" fillId="0" borderId="0" applyNumberFormat="0" applyFill="0" applyBorder="0" applyAlignment="0" applyProtection="0"/>
    <xf numFmtId="0" fontId="18" fillId="22" borderId="0"/>
    <xf numFmtId="0" fontId="20" fillId="4" borderId="0" applyNumberFormat="0" applyBorder="0" applyAlignment="0" applyProtection="0"/>
    <xf numFmtId="165" fontId="3" fillId="23" borderId="4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30" fillId="7" borderId="1" applyNumberFormat="0" applyAlignment="0" applyProtection="0"/>
    <xf numFmtId="165" fontId="3" fillId="24" borderId="3">
      <protection locked="0"/>
    </xf>
    <xf numFmtId="0" fontId="18" fillId="25" borderId="0">
      <alignment horizontal="right" vertical="center" readingOrder="2"/>
    </xf>
    <xf numFmtId="0" fontId="42" fillId="26" borderId="8">
      <alignment horizontal="center" vertical="center" wrapText="1"/>
      <protection hidden="1"/>
    </xf>
    <xf numFmtId="0" fontId="43" fillId="25" borderId="9">
      <protection hidden="1"/>
    </xf>
    <xf numFmtId="0" fontId="18" fillId="25" borderId="10">
      <alignment horizontal="right" vertical="center" readingOrder="2"/>
    </xf>
    <xf numFmtId="0" fontId="44" fillId="25" borderId="10" applyBorder="0">
      <alignment horizontal="right" vertical="center"/>
    </xf>
    <xf numFmtId="0" fontId="45" fillId="25" borderId="10">
      <alignment horizontal="right" vertical="center" wrapText="1"/>
    </xf>
    <xf numFmtId="0" fontId="33" fillId="0" borderId="11" applyNumberFormat="0" applyFill="0" applyAlignment="0" applyProtection="0"/>
    <xf numFmtId="0" fontId="17" fillId="27" borderId="12">
      <alignment horizontal="center" vertical="center"/>
      <protection hidden="1"/>
    </xf>
    <xf numFmtId="0" fontId="36" fillId="27" borderId="12">
      <alignment horizontal="center" vertical="center"/>
      <protection hidden="1"/>
    </xf>
    <xf numFmtId="0" fontId="27" fillId="28" borderId="0" applyNumberFormat="0" applyBorder="0" applyAlignment="0" applyProtection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97" fillId="0" borderId="0"/>
    <xf numFmtId="0" fontId="97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8" fillId="0" borderId="0"/>
    <xf numFmtId="0" fontId="18" fillId="29" borderId="13" applyNumberFormat="0" applyFont="0" applyAlignment="0" applyProtection="0"/>
    <xf numFmtId="0" fontId="29" fillId="20" borderId="14" applyNumberFormat="0" applyAlignment="0" applyProtection="0"/>
    <xf numFmtId="0" fontId="47" fillId="30" borderId="0"/>
    <xf numFmtId="0" fontId="43" fillId="30" borderId="15">
      <protection hidden="1"/>
    </xf>
    <xf numFmtId="165" fontId="3" fillId="30" borderId="16"/>
    <xf numFmtId="169" fontId="3" fillId="30" borderId="17"/>
    <xf numFmtId="0" fontId="23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29" borderId="13" applyNumberFormat="0" applyFont="0" applyAlignment="0" applyProtection="0"/>
    <xf numFmtId="0" fontId="15" fillId="29" borderId="13" applyNumberFormat="0" applyFont="0" applyAlignment="0" applyProtection="0"/>
    <xf numFmtId="0" fontId="18" fillId="29" borderId="13" applyNumberFormat="0" applyFont="0" applyAlignment="0" applyProtection="0"/>
    <xf numFmtId="0" fontId="19" fillId="20" borderId="1" applyNumberFormat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168" fontId="38" fillId="0" borderId="0">
      <alignment horizontal="right" vertical="center" readingOrder="2"/>
    </xf>
    <xf numFmtId="0" fontId="27" fillId="28" borderId="0" applyNumberFormat="0" applyBorder="0" applyAlignment="0" applyProtection="0"/>
    <xf numFmtId="0" fontId="28" fillId="0" borderId="18" applyNumberFormat="0" applyFill="0" applyAlignment="0" applyProtection="0"/>
    <xf numFmtId="0" fontId="29" fillId="20" borderId="14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1" borderId="2" applyNumberFormat="0" applyAlignment="0" applyProtection="0"/>
    <xf numFmtId="0" fontId="33" fillId="0" borderId="11" applyNumberFormat="0" applyFill="0" applyAlignment="0" applyProtection="0"/>
    <xf numFmtId="0" fontId="3" fillId="0" borderId="0"/>
    <xf numFmtId="0" fontId="107" fillId="0" borderId="0"/>
    <xf numFmtId="43" fontId="3" fillId="0" borderId="0" applyFont="0" applyFill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51" fillId="56" borderId="0" applyNumberFormat="0" applyBorder="0" applyAlignment="0" applyProtection="0"/>
    <xf numFmtId="0" fontId="151" fillId="60" borderId="0" applyNumberFormat="0" applyBorder="0" applyAlignment="0" applyProtection="0"/>
    <xf numFmtId="0" fontId="151" fillId="64" borderId="0" applyNumberFormat="0" applyBorder="0" applyAlignment="0" applyProtection="0"/>
    <xf numFmtId="0" fontId="151" fillId="68" borderId="0" applyNumberFormat="0" applyBorder="0" applyAlignment="0" applyProtection="0"/>
    <xf numFmtId="0" fontId="151" fillId="72" borderId="0" applyNumberFormat="0" applyBorder="0" applyAlignment="0" applyProtection="0"/>
    <xf numFmtId="0" fontId="151" fillId="76" borderId="0" applyNumberFormat="0" applyBorder="0" applyAlignment="0" applyProtection="0"/>
    <xf numFmtId="0" fontId="151" fillId="53" borderId="0" applyNumberFormat="0" applyBorder="0" applyAlignment="0" applyProtection="0"/>
    <xf numFmtId="0" fontId="151" fillId="57" borderId="0" applyNumberFormat="0" applyBorder="0" applyAlignment="0" applyProtection="0"/>
    <xf numFmtId="0" fontId="151" fillId="61" borderId="0" applyNumberFormat="0" applyBorder="0" applyAlignment="0" applyProtection="0"/>
    <xf numFmtId="0" fontId="151" fillId="65" borderId="0" applyNumberFormat="0" applyBorder="0" applyAlignment="0" applyProtection="0"/>
    <xf numFmtId="0" fontId="151" fillId="69" borderId="0" applyNumberFormat="0" applyBorder="0" applyAlignment="0" applyProtection="0"/>
    <xf numFmtId="0" fontId="151" fillId="73" borderId="0" applyNumberFormat="0" applyBorder="0" applyAlignment="0" applyProtection="0"/>
    <xf numFmtId="0" fontId="1" fillId="52" borderId="87" applyNumberFormat="0" applyFont="0" applyAlignment="0" applyProtection="0"/>
    <xf numFmtId="0" fontId="147" fillId="50" borderId="83" applyNumberFormat="0" applyAlignment="0" applyProtection="0"/>
    <xf numFmtId="0" fontId="142" fillId="46" borderId="0" applyNumberFormat="0" applyBorder="0" applyAlignment="0" applyProtection="0"/>
    <xf numFmtId="0" fontId="13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80" applyNumberFormat="0" applyFill="0" applyAlignment="0" applyProtection="0"/>
    <xf numFmtId="0" fontId="140" fillId="0" borderId="81" applyNumberFormat="0" applyFill="0" applyAlignment="0" applyProtection="0"/>
    <xf numFmtId="0" fontId="141" fillId="0" borderId="82" applyNumberFormat="0" applyFill="0" applyAlignment="0" applyProtection="0"/>
    <xf numFmtId="0" fontId="141" fillId="0" borderId="0" applyNumberFormat="0" applyFill="0" applyBorder="0" applyAlignment="0" applyProtection="0"/>
    <xf numFmtId="0" fontId="144" fillId="48" borderId="0" applyNumberFormat="0" applyBorder="0" applyAlignment="0" applyProtection="0"/>
    <xf numFmtId="0" fontId="133" fillId="0" borderId="88" applyNumberFormat="0" applyFill="0" applyAlignment="0" applyProtection="0"/>
    <xf numFmtId="0" fontId="146" fillId="50" borderId="84" applyNumberFormat="0" applyAlignment="0" applyProtection="0"/>
    <xf numFmtId="0" fontId="145" fillId="49" borderId="83" applyNumberFormat="0" applyAlignment="0" applyProtection="0"/>
    <xf numFmtId="0" fontId="143" fillId="47" borderId="0" applyNumberFormat="0" applyBorder="0" applyAlignment="0" applyProtection="0"/>
    <xf numFmtId="0" fontId="149" fillId="51" borderId="86" applyNumberFormat="0" applyAlignment="0" applyProtection="0"/>
    <xf numFmtId="0" fontId="148" fillId="0" borderId="85" applyNumberFormat="0" applyFill="0" applyAlignment="0" applyProtection="0"/>
  </cellStyleXfs>
  <cellXfs count="1481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79" applyFont="1"/>
    <xf numFmtId="0" fontId="7" fillId="0" borderId="0" xfId="79" applyFont="1"/>
    <xf numFmtId="0" fontId="13" fillId="0" borderId="0" xfId="79" applyFont="1" applyAlignment="1">
      <alignment horizontal="center" wrapText="1"/>
    </xf>
    <xf numFmtId="0" fontId="8" fillId="0" borderId="0" xfId="79" applyFont="1" applyFill="1"/>
    <xf numFmtId="0" fontId="36" fillId="0" borderId="0" xfId="69" applyFill="1" applyBorder="1">
      <alignment horizontal="center" vertical="center"/>
      <protection hidden="1"/>
    </xf>
    <xf numFmtId="0" fontId="0" fillId="0" borderId="0" xfId="0" applyFill="1"/>
    <xf numFmtId="0" fontId="37" fillId="0" borderId="0" xfId="0" applyFont="1"/>
    <xf numFmtId="0" fontId="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4" fillId="0" borderId="0" xfId="0" applyFont="1" applyAlignment="1">
      <alignment horizontal="right" readingOrder="2"/>
    </xf>
    <xf numFmtId="0" fontId="51" fillId="0" borderId="0" xfId="0" applyFont="1" applyAlignment="1">
      <alignment readingOrder="2"/>
    </xf>
    <xf numFmtId="0" fontId="10" fillId="0" borderId="0" xfId="0" applyFont="1" applyAlignment="1">
      <alignment horizontal="right" readingOrder="2"/>
    </xf>
    <xf numFmtId="0" fontId="46" fillId="0" borderId="0" xfId="0" applyFont="1"/>
    <xf numFmtId="0" fontId="46" fillId="0" borderId="0" xfId="0" applyFont="1" applyAlignment="1">
      <alignment readingOrder="2"/>
    </xf>
    <xf numFmtId="0" fontId="48" fillId="0" borderId="0" xfId="0" applyFont="1" applyAlignment="1">
      <alignment horizontal="right" readingOrder="2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 readingOrder="2"/>
    </xf>
    <xf numFmtId="0" fontId="53" fillId="0" borderId="0" xfId="0" applyFont="1" applyAlignment="1">
      <alignment horizontal="center" readingOrder="2"/>
    </xf>
    <xf numFmtId="0" fontId="46" fillId="0" borderId="0" xfId="0" applyFont="1" applyAlignment="1">
      <alignment horizontal="justify" readingOrder="2"/>
    </xf>
    <xf numFmtId="0" fontId="41" fillId="0" borderId="0" xfId="0" applyFont="1" applyAlignment="1">
      <alignment horizontal="right" readingOrder="2"/>
    </xf>
    <xf numFmtId="0" fontId="55" fillId="0" borderId="0" xfId="0" applyFont="1" applyAlignment="1">
      <alignment horizontal="right" readingOrder="2"/>
    </xf>
    <xf numFmtId="0" fontId="55" fillId="0" borderId="0" xfId="0" applyFont="1" applyAlignment="1">
      <alignment readingOrder="2"/>
    </xf>
    <xf numFmtId="0" fontId="55" fillId="0" borderId="21" xfId="0" applyFont="1" applyBorder="1" applyAlignment="1">
      <alignment horizontal="center" readingOrder="2"/>
    </xf>
    <xf numFmtId="0" fontId="7" fillId="0" borderId="21" xfId="0" applyFont="1" applyBorder="1" applyAlignment="1">
      <alignment horizontal="center"/>
    </xf>
    <xf numFmtId="0" fontId="46" fillId="0" borderId="22" xfId="0" applyFont="1" applyBorder="1" applyAlignment="1">
      <alignment readingOrder="2"/>
    </xf>
    <xf numFmtId="0" fontId="46" fillId="0" borderId="23" xfId="0" applyFont="1" applyBorder="1" applyAlignment="1">
      <alignment readingOrder="2"/>
    </xf>
    <xf numFmtId="0" fontId="46" fillId="0" borderId="24" xfId="0" applyFont="1" applyBorder="1" applyAlignment="1">
      <alignment readingOrder="2"/>
    </xf>
    <xf numFmtId="0" fontId="8" fillId="0" borderId="21" xfId="0" applyFont="1" applyBorder="1" applyAlignment="1">
      <alignment horizontal="center"/>
    </xf>
    <xf numFmtId="164" fontId="46" fillId="0" borderId="21" xfId="46" applyNumberFormat="1" applyFont="1" applyBorder="1" applyAlignment="1">
      <alignment readingOrder="2"/>
    </xf>
    <xf numFmtId="0" fontId="55" fillId="0" borderId="0" xfId="0" applyFont="1" applyAlignment="1">
      <alignment horizontal="justify" readingOrder="2"/>
    </xf>
    <xf numFmtId="164" fontId="55" fillId="0" borderId="21" xfId="46" applyNumberFormat="1" applyFont="1" applyBorder="1"/>
    <xf numFmtId="0" fontId="55" fillId="0" borderId="0" xfId="0" applyFont="1"/>
    <xf numFmtId="164" fontId="46" fillId="0" borderId="21" xfId="46" applyNumberFormat="1" applyFont="1" applyBorder="1"/>
    <xf numFmtId="164" fontId="46" fillId="31" borderId="21" xfId="46" applyNumberFormat="1" applyFont="1" applyFill="1" applyBorder="1"/>
    <xf numFmtId="0" fontId="46" fillId="0" borderId="21" xfId="0" applyFont="1" applyBorder="1"/>
    <xf numFmtId="0" fontId="56" fillId="0" borderId="21" xfId="0" applyFont="1" applyBorder="1"/>
    <xf numFmtId="2" fontId="55" fillId="0" borderId="21" xfId="0" applyNumberFormat="1" applyFont="1" applyBorder="1"/>
    <xf numFmtId="3" fontId="46" fillId="0" borderId="21" xfId="0" applyNumberFormat="1" applyFont="1" applyBorder="1"/>
    <xf numFmtId="0" fontId="46" fillId="0" borderId="0" xfId="0" applyFont="1" applyBorder="1" applyAlignment="1">
      <alignment horizontal="justify" readingOrder="2"/>
    </xf>
    <xf numFmtId="0" fontId="46" fillId="0" borderId="25" xfId="0" applyFont="1" applyBorder="1"/>
    <xf numFmtId="0" fontId="46" fillId="0" borderId="23" xfId="0" applyFont="1" applyBorder="1"/>
    <xf numFmtId="3" fontId="46" fillId="0" borderId="23" xfId="0" applyNumberFormat="1" applyFont="1" applyBorder="1"/>
    <xf numFmtId="3" fontId="46" fillId="31" borderId="21" xfId="0" applyNumberFormat="1" applyFont="1" applyFill="1" applyBorder="1"/>
    <xf numFmtId="3" fontId="56" fillId="0" borderId="21" xfId="0" applyNumberFormat="1" applyFont="1" applyBorder="1"/>
    <xf numFmtId="0" fontId="55" fillId="0" borderId="21" xfId="0" applyFont="1" applyBorder="1"/>
    <xf numFmtId="0" fontId="46" fillId="0" borderId="26" xfId="0" applyFont="1" applyBorder="1"/>
    <xf numFmtId="0" fontId="55" fillId="0" borderId="21" xfId="0" applyFont="1" applyBorder="1" applyAlignment="1">
      <alignment readingOrder="2"/>
    </xf>
    <xf numFmtId="0" fontId="55" fillId="0" borderId="22" xfId="0" applyFont="1" applyBorder="1" applyAlignment="1">
      <alignment readingOrder="2"/>
    </xf>
    <xf numFmtId="0" fontId="55" fillId="0" borderId="23" xfId="0" applyFont="1" applyBorder="1" applyAlignment="1">
      <alignment readingOrder="2"/>
    </xf>
    <xf numFmtId="0" fontId="55" fillId="0" borderId="24" xfId="0" applyFont="1" applyBorder="1" applyAlignment="1">
      <alignment readingOrder="2"/>
    </xf>
    <xf numFmtId="0" fontId="46" fillId="0" borderId="25" xfId="0" applyFont="1" applyBorder="1" applyAlignment="1">
      <alignment horizontal="center" readingOrder="2"/>
    </xf>
    <xf numFmtId="0" fontId="55" fillId="0" borderId="27" xfId="0" applyFont="1" applyBorder="1" applyAlignment="1">
      <alignment horizontal="center" readingOrder="2"/>
    </xf>
    <xf numFmtId="0" fontId="7" fillId="0" borderId="0" xfId="0" applyFont="1"/>
    <xf numFmtId="0" fontId="46" fillId="0" borderId="0" xfId="0" applyFont="1" applyBorder="1" applyAlignment="1">
      <alignment horizontal="center" readingOrder="2"/>
    </xf>
    <xf numFmtId="3" fontId="46" fillId="0" borderId="0" xfId="0" applyNumberFormat="1" applyFont="1" applyAlignment="1">
      <alignment horizontal="right" readingOrder="2"/>
    </xf>
    <xf numFmtId="3" fontId="55" fillId="0" borderId="27" xfId="0" applyNumberFormat="1" applyFont="1" applyBorder="1" applyAlignment="1">
      <alignment horizontal="right" readingOrder="2"/>
    </xf>
    <xf numFmtId="3" fontId="46" fillId="0" borderId="0" xfId="0" applyNumberFormat="1" applyFont="1" applyAlignment="1">
      <alignment readingOrder="2"/>
    </xf>
    <xf numFmtId="3" fontId="55" fillId="0" borderId="27" xfId="0" applyNumberFormat="1" applyFont="1" applyBorder="1" applyAlignment="1">
      <alignment readingOrder="2"/>
    </xf>
    <xf numFmtId="0" fontId="57" fillId="0" borderId="0" xfId="0" applyFont="1" applyAlignment="1">
      <alignment horizontal="right" readingOrder="2"/>
    </xf>
    <xf numFmtId="0" fontId="58" fillId="0" borderId="0" xfId="0" applyFont="1" applyAlignment="1">
      <alignment horizontal="right" readingOrder="2"/>
    </xf>
    <xf numFmtId="0" fontId="58" fillId="0" borderId="0" xfId="0" applyFont="1" applyAlignment="1">
      <alignment horizontal="center" readingOrder="2"/>
    </xf>
    <xf numFmtId="0" fontId="58" fillId="0" borderId="0" xfId="0" applyFont="1" applyAlignment="1">
      <alignment horizontal="center" vertical="center" readingOrder="2"/>
    </xf>
    <xf numFmtId="3" fontId="46" fillId="0" borderId="0" xfId="0" applyNumberFormat="1" applyFont="1" applyAlignment="1">
      <alignment horizontal="center" readingOrder="2"/>
    </xf>
    <xf numFmtId="9" fontId="46" fillId="0" borderId="0" xfId="0" applyNumberFormat="1" applyFont="1" applyAlignment="1">
      <alignment horizontal="center" vertical="center" readingOrder="2"/>
    </xf>
    <xf numFmtId="3" fontId="46" fillId="0" borderId="0" xfId="0" applyNumberFormat="1" applyFont="1" applyAlignment="1">
      <alignment horizontal="center"/>
    </xf>
    <xf numFmtId="3" fontId="46" fillId="0" borderId="25" xfId="0" applyNumberFormat="1" applyFont="1" applyBorder="1" applyAlignment="1">
      <alignment horizontal="center" readingOrder="2"/>
    </xf>
    <xf numFmtId="3" fontId="55" fillId="0" borderId="27" xfId="0" applyNumberFormat="1" applyFont="1" applyBorder="1" applyAlignment="1">
      <alignment horizontal="center" readingOrder="2"/>
    </xf>
    <xf numFmtId="0" fontId="55" fillId="0" borderId="27" xfId="0" applyFont="1" applyBorder="1" applyAlignment="1">
      <alignment horizontal="center" vertical="center" readingOrder="2"/>
    </xf>
    <xf numFmtId="0" fontId="4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readingOrder="2"/>
    </xf>
    <xf numFmtId="0" fontId="54" fillId="0" borderId="0" xfId="0" applyFont="1" applyAlignment="1">
      <alignment horizontal="right" readingOrder="2"/>
    </xf>
    <xf numFmtId="0" fontId="8" fillId="0" borderId="0" xfId="0" applyFont="1" applyAlignment="1">
      <alignment horizontal="justify"/>
    </xf>
    <xf numFmtId="0" fontId="55" fillId="0" borderId="0" xfId="0" applyFont="1" applyBorder="1" applyAlignment="1">
      <alignment horizontal="center" readingOrder="2"/>
    </xf>
    <xf numFmtId="0" fontId="55" fillId="0" borderId="0" xfId="0" applyFont="1" applyBorder="1" applyAlignment="1">
      <alignment horizontal="center"/>
    </xf>
    <xf numFmtId="0" fontId="46" fillId="0" borderId="0" xfId="0" applyFont="1" applyAlignment="1">
      <alignment wrapText="1" readingOrder="2"/>
    </xf>
    <xf numFmtId="0" fontId="41" fillId="0" borderId="0" xfId="0" applyFont="1" applyAlignment="1">
      <alignment horizontal="justify" readingOrder="2"/>
    </xf>
    <xf numFmtId="0" fontId="59" fillId="0" borderId="0" xfId="0" applyFont="1"/>
    <xf numFmtId="0" fontId="35" fillId="0" borderId="0" xfId="79" applyFont="1" applyBorder="1" applyAlignment="1">
      <alignment horizontal="center"/>
    </xf>
    <xf numFmtId="0" fontId="60" fillId="0" borderId="28" xfId="0" applyFont="1" applyBorder="1" applyAlignment="1">
      <alignment horizontal="center"/>
    </xf>
    <xf numFmtId="164" fontId="60" fillId="0" borderId="28" xfId="46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29" xfId="0" applyFont="1" applyBorder="1" applyAlignment="1">
      <alignment horizontal="center"/>
    </xf>
    <xf numFmtId="164" fontId="60" fillId="0" borderId="29" xfId="46" applyNumberFormat="1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61" fillId="0" borderId="21" xfId="0" applyFont="1" applyBorder="1"/>
    <xf numFmtId="0" fontId="59" fillId="0" borderId="21" xfId="0" applyFont="1" applyBorder="1"/>
    <xf numFmtId="164" fontId="59" fillId="0" borderId="29" xfId="46" applyNumberFormat="1" applyFont="1" applyBorder="1"/>
    <xf numFmtId="0" fontId="59" fillId="0" borderId="29" xfId="0" applyFont="1" applyBorder="1"/>
    <xf numFmtId="3" fontId="59" fillId="0" borderId="21" xfId="0" applyNumberFormat="1" applyFont="1" applyFill="1" applyBorder="1"/>
    <xf numFmtId="3" fontId="59" fillId="0" borderId="29" xfId="46" applyNumberFormat="1" applyFont="1" applyFill="1" applyBorder="1"/>
    <xf numFmtId="3" fontId="59" fillId="0" borderId="29" xfId="0" applyNumberFormat="1" applyFont="1" applyFill="1" applyBorder="1"/>
    <xf numFmtId="3" fontId="59" fillId="0" borderId="21" xfId="0" applyNumberFormat="1" applyFont="1" applyBorder="1"/>
    <xf numFmtId="3" fontId="59" fillId="0" borderId="30" xfId="46" applyNumberFormat="1" applyFont="1" applyBorder="1"/>
    <xf numFmtId="3" fontId="59" fillId="0" borderId="30" xfId="0" applyNumberFormat="1" applyFont="1" applyBorder="1"/>
    <xf numFmtId="0" fontId="59" fillId="0" borderId="30" xfId="0" applyFont="1" applyBorder="1"/>
    <xf numFmtId="164" fontId="59" fillId="0" borderId="0" xfId="46" applyNumberFormat="1" applyFont="1"/>
    <xf numFmtId="0" fontId="11" fillId="32" borderId="31" xfId="0" applyFont="1" applyFill="1" applyBorder="1" applyAlignment="1">
      <alignment horizontal="center"/>
    </xf>
    <xf numFmtId="0" fontId="11" fillId="32" borderId="31" xfId="0" applyFont="1" applyFill="1" applyBorder="1" applyAlignment="1">
      <alignment horizontal="center" wrapText="1"/>
    </xf>
    <xf numFmtId="0" fontId="11" fillId="32" borderId="32" xfId="0" applyFont="1" applyFill="1" applyBorder="1" applyAlignment="1">
      <alignment horizontal="center" wrapText="1"/>
    </xf>
    <xf numFmtId="0" fontId="4" fillId="0" borderId="0" xfId="0" applyFont="1"/>
    <xf numFmtId="0" fontId="8" fillId="0" borderId="3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4" fillId="0" borderId="33" xfId="0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0" fontId="8" fillId="0" borderId="36" xfId="0" applyFont="1" applyBorder="1"/>
    <xf numFmtId="0" fontId="4" fillId="0" borderId="36" xfId="0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4" fillId="0" borderId="40" xfId="46" applyNumberFormat="1" applyFont="1" applyBorder="1" applyAlignment="1"/>
    <xf numFmtId="0" fontId="4" fillId="0" borderId="35" xfId="0" applyFont="1" applyBorder="1"/>
    <xf numFmtId="0" fontId="11" fillId="32" borderId="38" xfId="0" applyFont="1" applyFill="1" applyBorder="1" applyAlignment="1">
      <alignment horizontal="center"/>
    </xf>
    <xf numFmtId="3" fontId="11" fillId="32" borderId="36" xfId="0" applyNumberFormat="1" applyFont="1" applyFill="1" applyBorder="1" applyAlignment="1">
      <alignment horizontal="center"/>
    </xf>
    <xf numFmtId="3" fontId="11" fillId="32" borderId="38" xfId="0" applyNumberFormat="1" applyFont="1" applyFill="1" applyBorder="1" applyAlignment="1">
      <alignment horizontal="center"/>
    </xf>
    <xf numFmtId="164" fontId="8" fillId="0" borderId="0" xfId="46" applyNumberFormat="1" applyFont="1" applyAlignment="1">
      <alignment horizontal="center"/>
    </xf>
    <xf numFmtId="0" fontId="11" fillId="32" borderId="41" xfId="0" applyFont="1" applyFill="1" applyBorder="1" applyAlignment="1">
      <alignment horizontal="center"/>
    </xf>
    <xf numFmtId="164" fontId="8" fillId="0" borderId="25" xfId="46" applyNumberFormat="1" applyFont="1" applyBorder="1" applyAlignment="1">
      <alignment horizontal="center"/>
    </xf>
    <xf numFmtId="164" fontId="8" fillId="0" borderId="39" xfId="46" applyNumberFormat="1" applyFont="1" applyBorder="1" applyAlignment="1">
      <alignment horizontal="center"/>
    </xf>
    <xf numFmtId="0" fontId="8" fillId="0" borderId="42" xfId="0" applyFont="1" applyBorder="1"/>
    <xf numFmtId="0" fontId="8" fillId="0" borderId="43" xfId="0" applyFont="1" applyBorder="1"/>
    <xf numFmtId="3" fontId="4" fillId="0" borderId="23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0" fontId="4" fillId="0" borderId="39" xfId="0" applyFont="1" applyBorder="1"/>
    <xf numFmtId="164" fontId="4" fillId="0" borderId="49" xfId="46" applyNumberFormat="1" applyFont="1" applyBorder="1"/>
    <xf numFmtId="164" fontId="4" fillId="0" borderId="50" xfId="46" applyNumberFormat="1" applyFont="1" applyBorder="1"/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3" fontId="11" fillId="32" borderId="23" xfId="0" applyNumberFormat="1" applyFont="1" applyFill="1" applyBorder="1" applyAlignment="1">
      <alignment horizontal="center"/>
    </xf>
    <xf numFmtId="3" fontId="11" fillId="32" borderId="47" xfId="0" applyNumberFormat="1" applyFont="1" applyFill="1" applyBorder="1" applyAlignment="1">
      <alignment horizontal="center"/>
    </xf>
    <xf numFmtId="3" fontId="11" fillId="32" borderId="48" xfId="0" applyNumberFormat="1" applyFont="1" applyFill="1" applyBorder="1" applyAlignment="1">
      <alignment horizontal="center"/>
    </xf>
    <xf numFmtId="3" fontId="11" fillId="32" borderId="51" xfId="0" applyNumberFormat="1" applyFont="1" applyFill="1" applyBorder="1" applyAlignment="1">
      <alignment horizontal="center"/>
    </xf>
    <xf numFmtId="3" fontId="11" fillId="32" borderId="52" xfId="0" applyNumberFormat="1" applyFont="1" applyFill="1" applyBorder="1" applyAlignment="1">
      <alignment horizontal="center"/>
    </xf>
    <xf numFmtId="0" fontId="11" fillId="0" borderId="0" xfId="0" applyFont="1"/>
    <xf numFmtId="0" fontId="62" fillId="0" borderId="0" xfId="0" applyFont="1"/>
    <xf numFmtId="0" fontId="11" fillId="0" borderId="40" xfId="0" applyFont="1" applyBorder="1"/>
    <xf numFmtId="0" fontId="11" fillId="0" borderId="53" xfId="0" applyFont="1" applyBorder="1"/>
    <xf numFmtId="0" fontId="7" fillId="32" borderId="56" xfId="0" applyFont="1" applyFill="1" applyBorder="1"/>
    <xf numFmtId="0" fontId="7" fillId="32" borderId="57" xfId="0" applyFont="1" applyFill="1" applyBorder="1"/>
    <xf numFmtId="0" fontId="7" fillId="32" borderId="21" xfId="0" applyFont="1" applyFill="1" applyBorder="1"/>
    <xf numFmtId="0" fontId="7" fillId="25" borderId="0" xfId="0" applyFont="1" applyFill="1"/>
    <xf numFmtId="0" fontId="8" fillId="0" borderId="20" xfId="0" applyFont="1" applyBorder="1"/>
    <xf numFmtId="0" fontId="8" fillId="0" borderId="19" xfId="0" applyFont="1" applyBorder="1"/>
    <xf numFmtId="0" fontId="7" fillId="32" borderId="32" xfId="0" applyFont="1" applyFill="1" applyBorder="1" applyAlignment="1">
      <alignment horizontal="right" readingOrder="2"/>
    </xf>
    <xf numFmtId="0" fontId="7" fillId="32" borderId="41" xfId="0" applyFont="1" applyFill="1" applyBorder="1"/>
    <xf numFmtId="0" fontId="8" fillId="0" borderId="58" xfId="0" applyFont="1" applyBorder="1"/>
    <xf numFmtId="0" fontId="8" fillId="0" borderId="59" xfId="0" applyFont="1" applyBorder="1"/>
    <xf numFmtId="164" fontId="8" fillId="0" borderId="56" xfId="46" applyNumberFormat="1" applyFont="1" applyBorder="1"/>
    <xf numFmtId="164" fontId="8" fillId="0" borderId="21" xfId="46" applyNumberFormat="1" applyFont="1" applyBorder="1"/>
    <xf numFmtId="164" fontId="8" fillId="0" borderId="57" xfId="46" applyNumberFormat="1" applyFont="1" applyBorder="1"/>
    <xf numFmtId="0" fontId="8" fillId="0" borderId="56" xfId="0" applyFont="1" applyBorder="1"/>
    <xf numFmtId="0" fontId="8" fillId="0" borderId="57" xfId="0" applyFont="1" applyBorder="1"/>
    <xf numFmtId="0" fontId="7" fillId="0" borderId="56" xfId="0" applyFont="1" applyBorder="1"/>
    <xf numFmtId="0" fontId="7" fillId="0" borderId="57" xfId="0" applyFont="1" applyBorder="1"/>
    <xf numFmtId="164" fontId="7" fillId="0" borderId="56" xfId="46" applyNumberFormat="1" applyFont="1" applyBorder="1"/>
    <xf numFmtId="164" fontId="7" fillId="0" borderId="57" xfId="46" applyNumberFormat="1" applyFont="1" applyBorder="1"/>
    <xf numFmtId="164" fontId="8" fillId="0" borderId="20" xfId="46" applyNumberFormat="1" applyFont="1" applyBorder="1"/>
    <xf numFmtId="164" fontId="8" fillId="0" borderId="0" xfId="46" applyNumberFormat="1" applyFont="1" applyBorder="1"/>
    <xf numFmtId="164" fontId="8" fillId="0" borderId="19" xfId="46" applyNumberFormat="1" applyFont="1" applyBorder="1"/>
    <xf numFmtId="0" fontId="7" fillId="32" borderId="32" xfId="0" applyFont="1" applyFill="1" applyBorder="1" applyAlignment="1">
      <alignment horizontal="right"/>
    </xf>
    <xf numFmtId="164" fontId="8" fillId="0" borderId="26" xfId="46" applyNumberFormat="1" applyFont="1" applyBorder="1"/>
    <xf numFmtId="0" fontId="7" fillId="32" borderId="32" xfId="0" applyFont="1" applyFill="1" applyBorder="1" applyAlignment="1">
      <alignment readingOrder="2"/>
    </xf>
    <xf numFmtId="164" fontId="8" fillId="0" borderId="25" xfId="46" applyNumberFormat="1" applyFont="1" applyBorder="1"/>
    <xf numFmtId="0" fontId="8" fillId="0" borderId="56" xfId="0" applyFont="1" applyBorder="1" applyAlignment="1">
      <alignment horizontal="right"/>
    </xf>
    <xf numFmtId="164" fontId="8" fillId="0" borderId="60" xfId="46" applyNumberFormat="1" applyFont="1" applyBorder="1"/>
    <xf numFmtId="164" fontId="8" fillId="0" borderId="61" xfId="46" applyNumberFormat="1" applyFont="1" applyBorder="1"/>
    <xf numFmtId="0" fontId="11" fillId="33" borderId="48" xfId="0" applyFont="1" applyFill="1" applyBorder="1"/>
    <xf numFmtId="0" fontId="11" fillId="33" borderId="47" xfId="0" applyFont="1" applyFill="1" applyBorder="1"/>
    <xf numFmtId="164" fontId="11" fillId="33" borderId="62" xfId="46" applyNumberFormat="1" applyFont="1" applyFill="1" applyBorder="1"/>
    <xf numFmtId="164" fontId="11" fillId="33" borderId="31" xfId="46" applyNumberFormat="1" applyFont="1" applyFill="1" applyBorder="1"/>
    <xf numFmtId="0" fontId="11" fillId="33" borderId="31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8" fillId="0" borderId="63" xfId="0" applyFont="1" applyBorder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3" fillId="32" borderId="64" xfId="0" applyFont="1" applyFill="1" applyBorder="1" applyAlignment="1">
      <alignment horizontal="center" wrapText="1"/>
    </xf>
    <xf numFmtId="0" fontId="13" fillId="32" borderId="65" xfId="0" applyFont="1" applyFill="1" applyBorder="1" applyAlignment="1">
      <alignment horizontal="center" wrapText="1"/>
    </xf>
    <xf numFmtId="0" fontId="13" fillId="32" borderId="30" xfId="0" applyFont="1" applyFill="1" applyBorder="1" applyAlignment="1">
      <alignment horizontal="center" wrapText="1"/>
    </xf>
    <xf numFmtId="0" fontId="13" fillId="32" borderId="0" xfId="0" applyFont="1" applyFill="1" applyAlignment="1">
      <alignment horizontal="center" wrapText="1"/>
    </xf>
    <xf numFmtId="0" fontId="5" fillId="32" borderId="6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22" xfId="0" applyFont="1" applyBorder="1"/>
    <xf numFmtId="0" fontId="8" fillId="0" borderId="24" xfId="0" applyFont="1" applyBorder="1"/>
    <xf numFmtId="0" fontId="8" fillId="0" borderId="64" xfId="0" applyFont="1" applyBorder="1"/>
    <xf numFmtId="0" fontId="8" fillId="0" borderId="21" xfId="0" applyFont="1" applyBorder="1"/>
    <xf numFmtId="164" fontId="8" fillId="0" borderId="21" xfId="46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8" fillId="0" borderId="21" xfId="0" applyNumberFormat="1" applyFont="1" applyBorder="1"/>
    <xf numFmtId="3" fontId="8" fillId="0" borderId="22" xfId="0" applyNumberFormat="1" applyFont="1" applyBorder="1"/>
    <xf numFmtId="0" fontId="11" fillId="32" borderId="22" xfId="0" applyFont="1" applyFill="1" applyBorder="1"/>
    <xf numFmtId="0" fontId="11" fillId="32" borderId="24" xfId="0" applyFont="1" applyFill="1" applyBorder="1"/>
    <xf numFmtId="164" fontId="11" fillId="32" borderId="21" xfId="46" applyNumberFormat="1" applyFont="1" applyFill="1" applyBorder="1"/>
    <xf numFmtId="0" fontId="13" fillId="0" borderId="0" xfId="0" applyFont="1" applyBorder="1"/>
    <xf numFmtId="0" fontId="13" fillId="0" borderId="26" xfId="0" applyFont="1" applyBorder="1"/>
    <xf numFmtId="0" fontId="13" fillId="0" borderId="0" xfId="0" applyFont="1"/>
    <xf numFmtId="0" fontId="8" fillId="0" borderId="65" xfId="0" applyFont="1" applyBorder="1"/>
    <xf numFmtId="0" fontId="8" fillId="0" borderId="30" xfId="0" applyFont="1" applyBorder="1"/>
    <xf numFmtId="164" fontId="8" fillId="0" borderId="22" xfId="46" applyNumberFormat="1" applyFont="1" applyBorder="1" applyAlignment="1">
      <alignment horizontal="center"/>
    </xf>
    <xf numFmtId="3" fontId="8" fillId="0" borderId="22" xfId="46" applyNumberFormat="1" applyFont="1" applyBorder="1"/>
    <xf numFmtId="164" fontId="11" fillId="32" borderId="22" xfId="46" applyNumberFormat="1" applyFont="1" applyFill="1" applyBorder="1"/>
    <xf numFmtId="164" fontId="8" fillId="0" borderId="22" xfId="46" applyNumberFormat="1" applyFont="1" applyBorder="1"/>
    <xf numFmtId="0" fontId="9" fillId="0" borderId="0" xfId="0" applyFont="1" applyBorder="1"/>
    <xf numFmtId="0" fontId="10" fillId="0" borderId="31" xfId="0" applyFont="1" applyBorder="1"/>
    <xf numFmtId="164" fontId="10" fillId="0" borderId="31" xfId="0" applyNumberFormat="1" applyFont="1" applyBorder="1"/>
    <xf numFmtId="164" fontId="10" fillId="0" borderId="32" xfId="0" applyNumberFormat="1" applyFont="1" applyBorder="1"/>
    <xf numFmtId="0" fontId="9" fillId="0" borderId="63" xfId="0" applyFont="1" applyBorder="1"/>
    <xf numFmtId="0" fontId="63" fillId="0" borderId="0" xfId="0" applyFont="1"/>
    <xf numFmtId="0" fontId="7" fillId="32" borderId="2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wrapText="1"/>
    </xf>
    <xf numFmtId="0" fontId="11" fillId="0" borderId="23" xfId="0" applyFont="1" applyBorder="1" applyAlignment="1">
      <alignment horizontal="right" vertical="center" wrapText="1" readingOrder="2"/>
    </xf>
    <xf numFmtId="0" fontId="8" fillId="0" borderId="23" xfId="0" applyFont="1" applyBorder="1"/>
    <xf numFmtId="0" fontId="8" fillId="0" borderId="30" xfId="0" applyFont="1" applyBorder="1" applyAlignment="1">
      <alignment horizontal="right" vertical="center" wrapText="1" readingOrder="2"/>
    </xf>
    <xf numFmtId="0" fontId="60" fillId="0" borderId="21" xfId="0" applyFont="1" applyBorder="1" applyAlignment="1">
      <alignment horizontal="right" vertical="center" wrapText="1" readingOrder="2"/>
    </xf>
    <xf numFmtId="0" fontId="60" fillId="0" borderId="21" xfId="0" applyFont="1" applyBorder="1"/>
    <xf numFmtId="164" fontId="60" fillId="0" borderId="21" xfId="46" applyNumberFormat="1" applyFont="1" applyBorder="1"/>
    <xf numFmtId="0" fontId="60" fillId="0" borderId="0" xfId="0" applyFont="1"/>
    <xf numFmtId="0" fontId="7" fillId="0" borderId="26" xfId="0" applyFont="1" applyBorder="1" applyAlignment="1">
      <alignment horizontal="right" vertical="center" wrapText="1" readingOrder="2"/>
    </xf>
    <xf numFmtId="0" fontId="7" fillId="0" borderId="0" xfId="0" applyFont="1" applyBorder="1"/>
    <xf numFmtId="0" fontId="11" fillId="0" borderId="25" xfId="0" applyFont="1" applyBorder="1" applyAlignment="1">
      <alignment horizontal="right" vertical="center" wrapText="1" readingOrder="2"/>
    </xf>
    <xf numFmtId="0" fontId="60" fillId="0" borderId="30" xfId="0" applyFont="1" applyBorder="1" applyAlignment="1">
      <alignment horizontal="right" vertical="center" wrapText="1" readingOrder="2"/>
    </xf>
    <xf numFmtId="0" fontId="60" fillId="0" borderId="30" xfId="0" applyFont="1" applyBorder="1"/>
    <xf numFmtId="164" fontId="60" fillId="0" borderId="30" xfId="46" applyNumberFormat="1" applyFont="1" applyBorder="1"/>
    <xf numFmtId="0" fontId="7" fillId="0" borderId="26" xfId="0" applyFont="1" applyBorder="1"/>
    <xf numFmtId="0" fontId="8" fillId="0" borderId="0" xfId="0" applyFont="1" applyBorder="1" applyAlignment="1">
      <alignment horizontal="right" vertical="center" wrapText="1" readingOrder="2"/>
    </xf>
    <xf numFmtId="0" fontId="11" fillId="32" borderId="66" xfId="0" applyFont="1" applyFill="1" applyBorder="1" applyAlignment="1">
      <alignment horizontal="right" vertical="center" wrapText="1" readingOrder="2"/>
    </xf>
    <xf numFmtId="0" fontId="11" fillId="32" borderId="67" xfId="0" applyFont="1" applyFill="1" applyBorder="1"/>
    <xf numFmtId="164" fontId="11" fillId="32" borderId="67" xfId="46" applyNumberFormat="1" applyFont="1" applyFill="1" applyBorder="1"/>
    <xf numFmtId="0" fontId="7" fillId="0" borderId="0" xfId="0" applyFont="1" applyBorder="1" applyAlignment="1">
      <alignment horizontal="right" vertical="center" wrapText="1" readingOrder="2"/>
    </xf>
    <xf numFmtId="0" fontId="6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5" fillId="32" borderId="58" xfId="0" applyFont="1" applyFill="1" applyBorder="1" applyAlignment="1">
      <alignment horizontal="center" wrapText="1"/>
    </xf>
    <xf numFmtId="0" fontId="55" fillId="32" borderId="30" xfId="0" applyFont="1" applyFill="1" applyBorder="1" applyAlignment="1">
      <alignment horizontal="center" vertical="center" wrapText="1" readingOrder="2"/>
    </xf>
    <xf numFmtId="0" fontId="55" fillId="32" borderId="68" xfId="0" applyFont="1" applyFill="1" applyBorder="1" applyAlignment="1">
      <alignment horizontal="center" vertical="center" wrapText="1" readingOrder="2"/>
    </xf>
    <xf numFmtId="0" fontId="55" fillId="32" borderId="55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wrapText="1"/>
    </xf>
    <xf numFmtId="0" fontId="4" fillId="0" borderId="56" xfId="0" applyFont="1" applyBorder="1" applyAlignment="1">
      <alignment horizontal="center"/>
    </xf>
    <xf numFmtId="164" fontId="4" fillId="0" borderId="21" xfId="46" applyNumberFormat="1" applyFont="1" applyBorder="1" applyAlignment="1">
      <alignment horizontal="center"/>
    </xf>
    <xf numFmtId="164" fontId="4" fillId="0" borderId="22" xfId="46" applyNumberFormat="1" applyFont="1" applyBorder="1" applyAlignment="1">
      <alignment horizontal="center"/>
    </xf>
    <xf numFmtId="164" fontId="4" fillId="0" borderId="57" xfId="46" applyNumberFormat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164" fontId="8" fillId="0" borderId="28" xfId="46" applyNumberFormat="1" applyFont="1" applyBorder="1" applyAlignment="1">
      <alignment horizontal="center"/>
    </xf>
    <xf numFmtId="164" fontId="8" fillId="0" borderId="70" xfId="46" applyNumberFormat="1" applyFont="1" applyBorder="1" applyAlignment="1">
      <alignment horizontal="center"/>
    </xf>
    <xf numFmtId="164" fontId="8" fillId="0" borderId="60" xfId="46" applyNumberFormat="1" applyFont="1" applyBorder="1" applyAlignment="1">
      <alignment horizontal="center"/>
    </xf>
    <xf numFmtId="0" fontId="55" fillId="32" borderId="62" xfId="0" applyFont="1" applyFill="1" applyBorder="1" applyAlignment="1">
      <alignment horizontal="center"/>
    </xf>
    <xf numFmtId="164" fontId="55" fillId="32" borderId="71" xfId="46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8" fillId="0" borderId="63" xfId="0" applyFont="1" applyBorder="1" applyAlignment="1">
      <alignment horizontal="center"/>
    </xf>
    <xf numFmtId="0" fontId="60" fillId="32" borderId="21" xfId="0" applyFont="1" applyFill="1" applyBorder="1" applyAlignment="1">
      <alignment wrapText="1"/>
    </xf>
    <xf numFmtId="0" fontId="11" fillId="32" borderId="21" xfId="0" applyFont="1" applyFill="1" applyBorder="1"/>
    <xf numFmtId="0" fontId="11" fillId="0" borderId="0" xfId="0" applyFont="1" applyAlignment="1">
      <alignment horizontal="center"/>
    </xf>
    <xf numFmtId="0" fontId="62" fillId="0" borderId="0" xfId="0" applyFont="1" applyBorder="1"/>
    <xf numFmtId="0" fontId="8" fillId="0" borderId="0" xfId="0" applyFont="1" applyBorder="1" applyAlignment="1">
      <alignment wrapText="1"/>
    </xf>
    <xf numFmtId="0" fontId="7" fillId="0" borderId="7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21" xfId="0" applyFont="1" applyBorder="1" applyAlignment="1">
      <alignment wrapText="1"/>
    </xf>
    <xf numFmtId="164" fontId="7" fillId="0" borderId="21" xfId="46" applyNumberFormat="1" applyFont="1" applyBorder="1" applyAlignment="1">
      <alignment horizontal="right" wrapText="1"/>
    </xf>
    <xf numFmtId="164" fontId="7" fillId="0" borderId="21" xfId="46" applyNumberFormat="1" applyFont="1" applyBorder="1"/>
    <xf numFmtId="164" fontId="7" fillId="0" borderId="21" xfId="46" applyNumberFormat="1" applyFont="1" applyBorder="1" applyAlignment="1">
      <alignment wrapText="1"/>
    </xf>
    <xf numFmtId="0" fontId="8" fillId="0" borderId="22" xfId="0" applyFont="1" applyBorder="1" applyAlignment="1">
      <alignment wrapText="1"/>
    </xf>
    <xf numFmtId="164" fontId="8" fillId="0" borderId="21" xfId="46" applyNumberFormat="1" applyFont="1" applyBorder="1" applyAlignment="1">
      <alignment wrapText="1"/>
    </xf>
    <xf numFmtId="164" fontId="8" fillId="0" borderId="21" xfId="46" applyNumberFormat="1" applyFont="1" applyFill="1" applyBorder="1" applyAlignment="1">
      <alignment wrapText="1"/>
    </xf>
    <xf numFmtId="164" fontId="8" fillId="0" borderId="24" xfId="46" applyNumberFormat="1" applyFont="1" applyBorder="1" applyAlignment="1">
      <alignment wrapText="1"/>
    </xf>
    <xf numFmtId="164" fontId="8" fillId="0" borderId="21" xfId="46" applyNumberFormat="1" applyFont="1" applyBorder="1" applyAlignment="1">
      <alignment horizontal="right" wrapText="1"/>
    </xf>
    <xf numFmtId="0" fontId="8" fillId="0" borderId="70" xfId="0" applyFont="1" applyBorder="1" applyAlignment="1">
      <alignment wrapText="1"/>
    </xf>
    <xf numFmtId="164" fontId="8" fillId="0" borderId="0" xfId="46" applyNumberFormat="1" applyFont="1"/>
    <xf numFmtId="164" fontId="8" fillId="0" borderId="24" xfId="46" applyNumberFormat="1" applyFont="1" applyBorder="1"/>
    <xf numFmtId="0" fontId="7" fillId="0" borderId="21" xfId="0" applyFont="1" applyBorder="1"/>
    <xf numFmtId="164" fontId="8" fillId="0" borderId="23" xfId="46" applyNumberFormat="1" applyFont="1" applyBorder="1"/>
    <xf numFmtId="164" fontId="7" fillId="0" borderId="23" xfId="46" applyNumberFormat="1" applyFont="1" applyBorder="1"/>
    <xf numFmtId="164" fontId="7" fillId="0" borderId="23" xfId="46" applyNumberFormat="1" applyFont="1" applyBorder="1" applyAlignment="1">
      <alignment horizontal="right" wrapText="1"/>
    </xf>
    <xf numFmtId="0" fontId="8" fillId="0" borderId="26" xfId="0" applyFont="1" applyBorder="1"/>
    <xf numFmtId="164" fontId="7" fillId="0" borderId="26" xfId="46" applyNumberFormat="1" applyFont="1" applyBorder="1"/>
    <xf numFmtId="0" fontId="11" fillId="32" borderId="31" xfId="0" applyFont="1" applyFill="1" applyBorder="1"/>
    <xf numFmtId="164" fontId="11" fillId="32" borderId="31" xfId="46" applyNumberFormat="1" applyFont="1" applyFill="1" applyBorder="1"/>
    <xf numFmtId="0" fontId="8" fillId="0" borderId="0" xfId="0" applyFont="1" applyBorder="1" applyAlignment="1">
      <alignment horizontal="right" readingOrder="2"/>
    </xf>
    <xf numFmtId="0" fontId="12" fillId="0" borderId="63" xfId="0" applyFont="1" applyBorder="1"/>
    <xf numFmtId="0" fontId="11" fillId="0" borderId="0" xfId="0" applyFont="1" applyBorder="1"/>
    <xf numFmtId="0" fontId="58" fillId="0" borderId="0" xfId="0" applyFont="1" applyAlignment="1">
      <alignment horizontal="center"/>
    </xf>
    <xf numFmtId="0" fontId="62" fillId="0" borderId="0" xfId="0" applyFont="1" applyAlignment="1">
      <alignment wrapText="1"/>
    </xf>
    <xf numFmtId="0" fontId="10" fillId="32" borderId="32" xfId="0" applyFont="1" applyFill="1" applyBorder="1" applyAlignment="1">
      <alignment horizontal="center" wrapText="1"/>
    </xf>
    <xf numFmtId="0" fontId="10" fillId="32" borderId="31" xfId="0" applyFont="1" applyFill="1" applyBorder="1" applyAlignment="1">
      <alignment horizontal="center" wrapText="1"/>
    </xf>
    <xf numFmtId="0" fontId="10" fillId="32" borderId="41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2" fillId="0" borderId="50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72" xfId="0" applyFont="1" applyBorder="1" applyAlignment="1">
      <alignment horizontal="center"/>
    </xf>
    <xf numFmtId="3" fontId="46" fillId="0" borderId="44" xfId="0" applyNumberFormat="1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36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3" fontId="46" fillId="0" borderId="35" xfId="0" applyNumberFormat="1" applyFont="1" applyBorder="1" applyAlignment="1">
      <alignment horizontal="center"/>
    </xf>
    <xf numFmtId="0" fontId="59" fillId="0" borderId="37" xfId="0" applyFont="1" applyBorder="1" applyAlignment="1">
      <alignment horizontal="center"/>
    </xf>
    <xf numFmtId="0" fontId="59" fillId="0" borderId="36" xfId="0" applyFont="1" applyBorder="1" applyAlignment="1">
      <alignment horizontal="center"/>
    </xf>
    <xf numFmtId="0" fontId="59" fillId="0" borderId="4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62" fillId="0" borderId="73" xfId="0" applyFont="1" applyBorder="1" applyAlignment="1">
      <alignment horizontal="center"/>
    </xf>
    <xf numFmtId="3" fontId="46" fillId="0" borderId="72" xfId="0" applyNumberFormat="1" applyFont="1" applyBorder="1" applyAlignment="1">
      <alignment horizontal="center"/>
    </xf>
    <xf numFmtId="3" fontId="46" fillId="0" borderId="42" xfId="0" applyNumberFormat="1" applyFont="1" applyBorder="1" applyAlignment="1">
      <alignment horizontal="center"/>
    </xf>
    <xf numFmtId="3" fontId="46" fillId="0" borderId="36" xfId="0" applyNumberFormat="1" applyFont="1" applyBorder="1" applyAlignment="1">
      <alignment horizontal="center"/>
    </xf>
    <xf numFmtId="3" fontId="59" fillId="0" borderId="36" xfId="0" applyNumberFormat="1" applyFont="1" applyBorder="1" applyAlignment="1">
      <alignment horizontal="center"/>
    </xf>
    <xf numFmtId="3" fontId="59" fillId="0" borderId="44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0" fontId="41" fillId="32" borderId="32" xfId="0" applyFont="1" applyFill="1" applyBorder="1" applyAlignment="1">
      <alignment horizontal="center"/>
    </xf>
    <xf numFmtId="3" fontId="41" fillId="32" borderId="31" xfId="0" applyNumberFormat="1" applyFont="1" applyFill="1" applyBorder="1" applyAlignment="1">
      <alignment horizontal="center"/>
    </xf>
    <xf numFmtId="0" fontId="53" fillId="0" borderId="0" xfId="0" applyFont="1"/>
    <xf numFmtId="0" fontId="5" fillId="32" borderId="30" xfId="0" applyFont="1" applyFill="1" applyBorder="1" applyAlignment="1">
      <alignment horizontal="center" wrapText="1"/>
    </xf>
    <xf numFmtId="0" fontId="7" fillId="32" borderId="30" xfId="0" applyFont="1" applyFill="1" applyBorder="1" applyAlignment="1">
      <alignment horizontal="center" vertical="center" wrapText="1" readingOrder="2"/>
    </xf>
    <xf numFmtId="0" fontId="55" fillId="0" borderId="20" xfId="0" applyFont="1" applyBorder="1" applyAlignment="1">
      <alignment horizontal="center"/>
    </xf>
    <xf numFmtId="0" fontId="55" fillId="0" borderId="49" xfId="0" applyFont="1" applyBorder="1" applyAlignment="1">
      <alignment horizontal="center"/>
    </xf>
    <xf numFmtId="0" fontId="55" fillId="0" borderId="53" xfId="0" applyFont="1" applyBorder="1" applyAlignment="1">
      <alignment horizontal="center"/>
    </xf>
    <xf numFmtId="0" fontId="60" fillId="32" borderId="30" xfId="0" applyFont="1" applyFill="1" applyBorder="1" applyAlignment="1">
      <alignment wrapText="1"/>
    </xf>
    <xf numFmtId="0" fontId="7" fillId="32" borderId="30" xfId="0" applyFont="1" applyFill="1" applyBorder="1"/>
    <xf numFmtId="0" fontId="7" fillId="32" borderId="30" xfId="0" applyFont="1" applyFill="1" applyBorder="1" applyAlignment="1">
      <alignment wrapText="1"/>
    </xf>
    <xf numFmtId="0" fontId="60" fillId="32" borderId="64" xfId="0" applyFont="1" applyFill="1" applyBorder="1" applyAlignment="1">
      <alignment horizontal="center" wrapText="1"/>
    </xf>
    <xf numFmtId="0" fontId="60" fillId="32" borderId="30" xfId="0" applyFont="1" applyFill="1" applyBorder="1" applyAlignment="1">
      <alignment horizontal="center" wrapText="1"/>
    </xf>
    <xf numFmtId="0" fontId="8" fillId="0" borderId="74" xfId="79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top"/>
    </xf>
    <xf numFmtId="49" fontId="66" fillId="0" borderId="21" xfId="0" applyNumberFormat="1" applyFont="1" applyFill="1" applyBorder="1" applyAlignment="1">
      <alignment horizontal="center" vertical="top" wrapText="1"/>
    </xf>
    <xf numFmtId="170" fontId="66" fillId="0" borderId="21" xfId="0" applyNumberFormat="1" applyFont="1" applyFill="1" applyBorder="1" applyAlignment="1">
      <alignment horizontal="center" vertical="top" wrapText="1"/>
    </xf>
    <xf numFmtId="4" fontId="66" fillId="0" borderId="2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49" fontId="67" fillId="0" borderId="21" xfId="0" applyNumberFormat="1" applyFont="1" applyFill="1" applyBorder="1" applyAlignment="1">
      <alignment horizontal="center" vertical="top" wrapText="1"/>
    </xf>
    <xf numFmtId="49" fontId="68" fillId="0" borderId="21" xfId="0" applyNumberFormat="1" applyFont="1" applyFill="1" applyBorder="1" applyAlignment="1">
      <alignment horizontal="center" vertical="top" wrapText="1"/>
    </xf>
    <xf numFmtId="170" fontId="68" fillId="0" borderId="21" xfId="0" applyNumberFormat="1" applyFont="1" applyFill="1" applyBorder="1" applyAlignment="1">
      <alignment horizontal="center" vertical="top" wrapText="1"/>
    </xf>
    <xf numFmtId="4" fontId="68" fillId="0" borderId="22" xfId="0" applyNumberFormat="1" applyFont="1" applyFill="1" applyBorder="1" applyAlignment="1">
      <alignment horizontal="center" vertical="top" wrapText="1"/>
    </xf>
    <xf numFmtId="4" fontId="67" fillId="0" borderId="22" xfId="0" applyNumberFormat="1" applyFont="1" applyFill="1" applyBorder="1" applyAlignment="1">
      <alignment horizontal="center" vertical="top" wrapText="1"/>
    </xf>
    <xf numFmtId="170" fontId="67" fillId="0" borderId="21" xfId="0" applyNumberFormat="1" applyFont="1" applyFill="1" applyBorder="1" applyAlignment="1">
      <alignment horizontal="center" vertical="top" wrapText="1"/>
    </xf>
    <xf numFmtId="49" fontId="69" fillId="0" borderId="21" xfId="0" applyNumberFormat="1" applyFont="1" applyFill="1" applyBorder="1" applyAlignment="1">
      <alignment horizontal="center" vertical="top" wrapText="1"/>
    </xf>
    <xf numFmtId="170" fontId="69" fillId="0" borderId="21" xfId="0" applyNumberFormat="1" applyFont="1" applyFill="1" applyBorder="1" applyAlignment="1">
      <alignment horizontal="center" vertical="top" wrapText="1"/>
    </xf>
    <xf numFmtId="4" fontId="69" fillId="0" borderId="2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" fontId="66" fillId="31" borderId="21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0" fontId="72" fillId="0" borderId="0" xfId="0" applyFont="1" applyFill="1" applyAlignment="1">
      <alignment horizontal="center" vertical="top"/>
    </xf>
    <xf numFmtId="3" fontId="66" fillId="0" borderId="21" xfId="0" applyNumberFormat="1" applyFont="1" applyFill="1" applyBorder="1" applyAlignment="1">
      <alignment horizontal="center" vertical="top" wrapText="1"/>
    </xf>
    <xf numFmtId="3" fontId="66" fillId="31" borderId="21" xfId="0" applyNumberFormat="1" applyFont="1" applyFill="1" applyBorder="1" applyAlignment="1">
      <alignment horizontal="center" vertical="top" wrapText="1"/>
    </xf>
    <xf numFmtId="3" fontId="67" fillId="0" borderId="21" xfId="0" applyNumberFormat="1" applyFont="1" applyFill="1" applyBorder="1" applyAlignment="1">
      <alignment horizontal="center" vertical="top" wrapText="1"/>
    </xf>
    <xf numFmtId="4" fontId="68" fillId="0" borderId="21" xfId="0" applyNumberFormat="1" applyFont="1" applyFill="1" applyBorder="1" applyAlignment="1">
      <alignment horizontal="center" vertical="top" wrapText="1"/>
    </xf>
    <xf numFmtId="4" fontId="67" fillId="0" borderId="21" xfId="0" applyNumberFormat="1" applyFont="1" applyFill="1" applyBorder="1" applyAlignment="1">
      <alignment horizontal="center" vertical="top" wrapText="1"/>
    </xf>
    <xf numFmtId="49" fontId="73" fillId="0" borderId="2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Alignment="1">
      <alignment horizontal="center" vertical="top"/>
    </xf>
    <xf numFmtId="4" fontId="8" fillId="0" borderId="0" xfId="0" applyNumberFormat="1" applyFont="1" applyFill="1" applyAlignment="1">
      <alignment horizontal="center" vertical="top"/>
    </xf>
    <xf numFmtId="49" fontId="73" fillId="0" borderId="28" xfId="0" applyNumberFormat="1" applyFont="1" applyFill="1" applyBorder="1" applyAlignment="1">
      <alignment horizontal="center" vertical="top" wrapText="1"/>
    </xf>
    <xf numFmtId="0" fontId="78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3" fontId="8" fillId="0" borderId="0" xfId="79" applyNumberFormat="1" applyFont="1"/>
    <xf numFmtId="0" fontId="11" fillId="0" borderId="0" xfId="79" applyFont="1"/>
    <xf numFmtId="0" fontId="82" fillId="0" borderId="0" xfId="77" applyFont="1"/>
    <xf numFmtId="0" fontId="84" fillId="0" borderId="0" xfId="77" applyFont="1"/>
    <xf numFmtId="0" fontId="85" fillId="0" borderId="0" xfId="77" applyFont="1"/>
    <xf numFmtId="0" fontId="66" fillId="0" borderId="0" xfId="77" applyFont="1"/>
    <xf numFmtId="0" fontId="87" fillId="0" borderId="0" xfId="0" applyFont="1"/>
    <xf numFmtId="0" fontId="0" fillId="31" borderId="0" xfId="0" applyFill="1"/>
    <xf numFmtId="0" fontId="8" fillId="0" borderId="0" xfId="0" applyNumberFormat="1" applyFont="1"/>
    <xf numFmtId="0" fontId="7" fillId="0" borderId="0" xfId="0" applyNumberFormat="1" applyFont="1"/>
    <xf numFmtId="0" fontId="62" fillId="0" borderId="21" xfId="0" applyFont="1" applyBorder="1"/>
    <xf numFmtId="3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0" borderId="21" xfId="0" applyFont="1" applyBorder="1"/>
    <xf numFmtId="0" fontId="8" fillId="0" borderId="0" xfId="81"/>
    <xf numFmtId="0" fontId="4" fillId="0" borderId="21" xfId="81" applyFont="1" applyBorder="1" applyAlignment="1">
      <alignment horizontal="justify" vertical="top" wrapText="1" readingOrder="2"/>
    </xf>
    <xf numFmtId="0" fontId="8" fillId="0" borderId="21" xfId="81" applyBorder="1"/>
    <xf numFmtId="0" fontId="60" fillId="0" borderId="21" xfId="81" applyFont="1" applyBorder="1" applyAlignment="1">
      <alignment horizontal="center"/>
    </xf>
    <xf numFmtId="0" fontId="8" fillId="0" borderId="21" xfId="81" applyFont="1" applyBorder="1"/>
    <xf numFmtId="10" fontId="4" fillId="0" borderId="21" xfId="0" applyNumberFormat="1" applyFont="1" applyBorder="1" applyAlignment="1">
      <alignment horizontal="center"/>
    </xf>
    <xf numFmtId="0" fontId="7" fillId="0" borderId="0" xfId="79" applyFont="1" applyFill="1"/>
    <xf numFmtId="0" fontId="13" fillId="0" borderId="0" xfId="79" applyFont="1" applyFill="1" applyAlignment="1">
      <alignment horizontal="center" wrapText="1"/>
    </xf>
    <xf numFmtId="3" fontId="9" fillId="0" borderId="75" xfId="79" applyNumberFormat="1" applyFont="1" applyFill="1" applyBorder="1" applyAlignment="1">
      <alignment horizontal="center"/>
    </xf>
    <xf numFmtId="164" fontId="60" fillId="0" borderId="28" xfId="48" applyNumberFormat="1" applyFont="1" applyBorder="1" applyAlignment="1">
      <alignment horizontal="center"/>
    </xf>
    <xf numFmtId="164" fontId="60" fillId="0" borderId="29" xfId="48" applyNumberFormat="1" applyFont="1" applyBorder="1" applyAlignment="1">
      <alignment horizontal="center"/>
    </xf>
    <xf numFmtId="164" fontId="59" fillId="0" borderId="0" xfId="48" applyNumberFormat="1" applyFont="1"/>
    <xf numFmtId="0" fontId="88" fillId="0" borderId="0" xfId="0" applyFont="1" applyFill="1" applyAlignment="1">
      <alignment horizontal="center"/>
    </xf>
    <xf numFmtId="0" fontId="81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3" fontId="81" fillId="34" borderId="21" xfId="0" applyNumberFormat="1" applyFont="1" applyFill="1" applyBorder="1" applyAlignment="1">
      <alignment horizontal="center"/>
    </xf>
    <xf numFmtId="0" fontId="89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0" fontId="90" fillId="0" borderId="0" xfId="0" applyFont="1" applyFill="1" applyAlignment="1">
      <alignment horizontal="center"/>
    </xf>
    <xf numFmtId="166" fontId="88" fillId="0" borderId="21" xfId="0" applyNumberFormat="1" applyFont="1" applyFill="1" applyBorder="1" applyAlignment="1">
      <alignment horizontal="center"/>
    </xf>
    <xf numFmtId="166" fontId="88" fillId="34" borderId="21" xfId="0" applyNumberFormat="1" applyFont="1" applyFill="1" applyBorder="1" applyAlignment="1">
      <alignment horizontal="center"/>
    </xf>
    <xf numFmtId="0" fontId="79" fillId="34" borderId="21" xfId="0" applyFont="1" applyFill="1" applyBorder="1" applyAlignment="1">
      <alignment horizontal="right"/>
    </xf>
    <xf numFmtId="3" fontId="79" fillId="34" borderId="21" xfId="0" applyNumberFormat="1" applyFont="1" applyFill="1" applyBorder="1" applyAlignment="1">
      <alignment horizontal="center"/>
    </xf>
    <xf numFmtId="0" fontId="0" fillId="0" borderId="0" xfId="0" applyFill="1" applyBorder="1"/>
    <xf numFmtId="0" fontId="81" fillId="34" borderId="21" xfId="0" applyFont="1" applyFill="1" applyBorder="1" applyAlignment="1">
      <alignment horizontal="right"/>
    </xf>
    <xf numFmtId="0" fontId="88" fillId="34" borderId="21" xfId="0" applyFont="1" applyFill="1" applyBorder="1" applyAlignment="1">
      <alignment horizontal="right"/>
    </xf>
    <xf numFmtId="166" fontId="78" fillId="34" borderId="21" xfId="0" applyNumberFormat="1" applyFont="1" applyFill="1" applyBorder="1" applyAlignment="1">
      <alignment horizontal="center"/>
    </xf>
    <xf numFmtId="166" fontId="79" fillId="34" borderId="21" xfId="0" applyNumberFormat="1" applyFont="1" applyFill="1" applyBorder="1" applyAlignment="1">
      <alignment horizontal="center"/>
    </xf>
    <xf numFmtId="0" fontId="76" fillId="0" borderId="0" xfId="76" applyFont="1"/>
    <xf numFmtId="0" fontId="74" fillId="0" borderId="0" xfId="76" applyFont="1"/>
    <xf numFmtId="0" fontId="18" fillId="0" borderId="0" xfId="76"/>
    <xf numFmtId="0" fontId="93" fillId="0" borderId="0" xfId="76" applyFont="1"/>
    <xf numFmtId="0" fontId="72" fillId="0" borderId="0" xfId="76" applyFont="1"/>
    <xf numFmtId="0" fontId="93" fillId="0" borderId="0" xfId="76" applyFont="1" applyAlignment="1">
      <alignment wrapText="1"/>
    </xf>
    <xf numFmtId="0" fontId="95" fillId="0" borderId="0" xfId="76" applyFont="1"/>
    <xf numFmtId="0" fontId="96" fillId="0" borderId="0" xfId="76" applyFont="1"/>
    <xf numFmtId="0" fontId="94" fillId="0" borderId="0" xfId="76" applyFont="1" applyFill="1" applyAlignment="1">
      <alignment horizontal="center" vertical="top"/>
    </xf>
    <xf numFmtId="0" fontId="94" fillId="0" borderId="0" xfId="76" applyFont="1" applyFill="1" applyBorder="1" applyAlignment="1">
      <alignment vertical="top"/>
    </xf>
    <xf numFmtId="0" fontId="92" fillId="0" borderId="0" xfId="76" applyFont="1" applyFill="1" applyBorder="1" applyAlignment="1">
      <alignment vertical="top"/>
    </xf>
    <xf numFmtId="164" fontId="94" fillId="0" borderId="0" xfId="48" applyNumberFormat="1" applyFont="1" applyFill="1" applyBorder="1" applyAlignment="1">
      <alignment horizontal="center" vertical="top"/>
    </xf>
    <xf numFmtId="170" fontId="73" fillId="0" borderId="21" xfId="0" applyNumberFormat="1" applyFont="1" applyFill="1" applyBorder="1" applyAlignment="1">
      <alignment horizontal="center" vertical="top" wrapText="1"/>
    </xf>
    <xf numFmtId="3" fontId="73" fillId="0" borderId="57" xfId="0" applyNumberFormat="1" applyFont="1" applyFill="1" applyBorder="1" applyAlignment="1">
      <alignment horizontal="center" vertical="top" wrapText="1"/>
    </xf>
    <xf numFmtId="170" fontId="73" fillId="0" borderId="28" xfId="0" applyNumberFormat="1" applyFont="1" applyFill="1" applyBorder="1" applyAlignment="1">
      <alignment horizontal="center" vertical="top" wrapText="1"/>
    </xf>
    <xf numFmtId="3" fontId="73" fillId="0" borderId="60" xfId="0" applyNumberFormat="1" applyFont="1" applyFill="1" applyBorder="1" applyAlignment="1">
      <alignment horizontal="center" vertical="top" wrapText="1"/>
    </xf>
    <xf numFmtId="3" fontId="73" fillId="0" borderId="21" xfId="0" applyNumberFormat="1" applyFont="1" applyFill="1" applyBorder="1" applyAlignment="1">
      <alignment horizontal="center" vertical="top" wrapText="1"/>
    </xf>
    <xf numFmtId="170" fontId="73" fillId="0" borderId="24" xfId="0" applyNumberFormat="1" applyFont="1" applyFill="1" applyBorder="1" applyAlignment="1">
      <alignment horizontal="center" vertical="top" wrapText="1"/>
    </xf>
    <xf numFmtId="49" fontId="73" fillId="0" borderId="30" xfId="0" applyNumberFormat="1" applyFont="1" applyFill="1" applyBorder="1" applyAlignment="1">
      <alignment horizontal="center" vertical="top" wrapText="1"/>
    </xf>
    <xf numFmtId="170" fontId="73" fillId="0" borderId="30" xfId="0" applyNumberFormat="1" applyFont="1" applyFill="1" applyBorder="1" applyAlignment="1">
      <alignment horizontal="center" vertical="top" wrapText="1"/>
    </xf>
    <xf numFmtId="3" fontId="73" fillId="0" borderId="59" xfId="0" applyNumberFormat="1" applyFont="1" applyFill="1" applyBorder="1" applyAlignment="1">
      <alignment horizontal="center" vertical="top" wrapText="1"/>
    </xf>
    <xf numFmtId="49" fontId="73" fillId="34" borderId="21" xfId="73" applyNumberFormat="1" applyFont="1" applyFill="1" applyBorder="1" applyAlignment="1">
      <alignment horizontal="center" vertical="top" wrapText="1"/>
    </xf>
    <xf numFmtId="170" fontId="73" fillId="34" borderId="21" xfId="73" applyNumberFormat="1" applyFont="1" applyFill="1" applyBorder="1" applyAlignment="1">
      <alignment horizontal="center" vertical="top" wrapText="1"/>
    </xf>
    <xf numFmtId="3" fontId="73" fillId="0" borderId="21" xfId="73" applyNumberFormat="1" applyFont="1" applyFill="1" applyBorder="1" applyAlignment="1">
      <alignment horizontal="center" vertical="top" wrapText="1"/>
    </xf>
    <xf numFmtId="49" fontId="75" fillId="34" borderId="21" xfId="73" applyNumberFormat="1" applyFont="1" applyFill="1" applyBorder="1" applyAlignment="1">
      <alignment horizontal="center" vertical="top" wrapText="1"/>
    </xf>
    <xf numFmtId="170" fontId="75" fillId="34" borderId="21" xfId="73" applyNumberFormat="1" applyFont="1" applyFill="1" applyBorder="1" applyAlignment="1">
      <alignment horizontal="center" vertical="top" wrapText="1"/>
    </xf>
    <xf numFmtId="3" fontId="75" fillId="0" borderId="21" xfId="73" applyNumberFormat="1" applyFont="1" applyFill="1" applyBorder="1" applyAlignment="1">
      <alignment horizontal="center" vertical="top" wrapText="1"/>
    </xf>
    <xf numFmtId="166" fontId="99" fillId="34" borderId="21" xfId="0" applyNumberFormat="1" applyFont="1" applyFill="1" applyBorder="1" applyAlignment="1">
      <alignment horizontal="center"/>
    </xf>
    <xf numFmtId="0" fontId="100" fillId="34" borderId="21" xfId="0" applyFont="1" applyFill="1" applyBorder="1" applyAlignment="1">
      <alignment horizontal="right"/>
    </xf>
    <xf numFmtId="3" fontId="100" fillId="34" borderId="21" xfId="0" applyNumberFormat="1" applyFont="1" applyFill="1" applyBorder="1" applyAlignment="1">
      <alignment horizontal="center"/>
    </xf>
    <xf numFmtId="166" fontId="101" fillId="34" borderId="21" xfId="0" applyNumberFormat="1" applyFont="1" applyFill="1" applyBorder="1" applyAlignment="1">
      <alignment horizontal="center"/>
    </xf>
    <xf numFmtId="0" fontId="102" fillId="34" borderId="21" xfId="0" applyFont="1" applyFill="1" applyBorder="1" applyAlignment="1">
      <alignment horizontal="right"/>
    </xf>
    <xf numFmtId="3" fontId="102" fillId="34" borderId="21" xfId="0" applyNumberFormat="1" applyFont="1" applyFill="1" applyBorder="1" applyAlignment="1">
      <alignment horizontal="center"/>
    </xf>
    <xf numFmtId="0" fontId="103" fillId="34" borderId="21" xfId="0" applyFont="1" applyFill="1" applyBorder="1" applyAlignment="1">
      <alignment horizontal="right"/>
    </xf>
    <xf numFmtId="3" fontId="103" fillId="34" borderId="21" xfId="0" applyNumberFormat="1" applyFont="1" applyFill="1" applyBorder="1" applyAlignment="1">
      <alignment horizontal="center"/>
    </xf>
    <xf numFmtId="0" fontId="60" fillId="34" borderId="21" xfId="0" applyFont="1" applyFill="1" applyBorder="1" applyAlignment="1">
      <alignment horizontal="center"/>
    </xf>
    <xf numFmtId="0" fontId="79" fillId="0" borderId="21" xfId="0" applyFont="1" applyFill="1" applyBorder="1" applyAlignment="1">
      <alignment horizontal="right"/>
    </xf>
    <xf numFmtId="3" fontId="79" fillId="0" borderId="21" xfId="0" applyNumberFormat="1" applyFont="1" applyFill="1" applyBorder="1" applyAlignment="1">
      <alignment horizontal="center"/>
    </xf>
    <xf numFmtId="0" fontId="72" fillId="0" borderId="0" xfId="76" applyFont="1" applyFill="1" applyAlignment="1">
      <alignment horizontal="center" vertical="top"/>
    </xf>
    <xf numFmtId="49" fontId="73" fillId="0" borderId="21" xfId="73" applyNumberFormat="1" applyFont="1" applyFill="1" applyBorder="1" applyAlignment="1">
      <alignment horizontal="center" vertical="top" wrapText="1"/>
    </xf>
    <xf numFmtId="0" fontId="77" fillId="0" borderId="0" xfId="0" applyFont="1" applyFill="1" applyAlignment="1">
      <alignment horizontal="center"/>
    </xf>
    <xf numFmtId="3" fontId="105" fillId="34" borderId="21" xfId="73" applyNumberFormat="1" applyFont="1" applyFill="1" applyBorder="1" applyAlignment="1">
      <alignment horizontal="center" vertical="top" wrapText="1"/>
    </xf>
    <xf numFmtId="3" fontId="73" fillId="0" borderId="30" xfId="0" applyNumberFormat="1" applyFont="1" applyFill="1" applyBorder="1" applyAlignment="1">
      <alignment horizontal="center" vertical="top" wrapText="1"/>
    </xf>
    <xf numFmtId="4" fontId="73" fillId="0" borderId="21" xfId="0" applyNumberFormat="1" applyFont="1" applyFill="1" applyBorder="1" applyAlignment="1">
      <alignment horizontal="center" vertical="top" wrapText="1"/>
    </xf>
    <xf numFmtId="4" fontId="73" fillId="0" borderId="28" xfId="0" applyNumberFormat="1" applyFont="1" applyFill="1" applyBorder="1" applyAlignment="1">
      <alignment horizontal="center" vertical="top" wrapText="1"/>
    </xf>
    <xf numFmtId="4" fontId="73" fillId="0" borderId="30" xfId="0" applyNumberFormat="1" applyFont="1" applyFill="1" applyBorder="1" applyAlignment="1">
      <alignment horizontal="center" vertical="top" wrapText="1"/>
    </xf>
    <xf numFmtId="4" fontId="73" fillId="0" borderId="21" xfId="73" applyNumberFormat="1" applyFont="1" applyFill="1" applyBorder="1" applyAlignment="1">
      <alignment horizontal="center" vertical="top" wrapText="1"/>
    </xf>
    <xf numFmtId="4" fontId="75" fillId="0" borderId="21" xfId="73" applyNumberFormat="1" applyFont="1" applyFill="1" applyBorder="1" applyAlignment="1">
      <alignment horizontal="center" vertical="top" wrapText="1"/>
    </xf>
    <xf numFmtId="0" fontId="59" fillId="0" borderId="0" xfId="76" applyFont="1" applyFill="1" applyAlignment="1">
      <alignment horizontal="center" vertical="top"/>
    </xf>
    <xf numFmtId="49" fontId="7" fillId="34" borderId="21" xfId="78" applyNumberFormat="1" applyFont="1" applyFill="1" applyBorder="1" applyAlignment="1">
      <alignment horizontal="center"/>
    </xf>
    <xf numFmtId="0" fontId="8" fillId="34" borderId="21" xfId="0" applyFont="1" applyFill="1" applyBorder="1" applyAlignment="1">
      <alignment horizontal="right"/>
    </xf>
    <xf numFmtId="166" fontId="99" fillId="0" borderId="21" xfId="0" applyNumberFormat="1" applyFont="1" applyFill="1" applyBorder="1" applyAlignment="1">
      <alignment horizontal="center"/>
    </xf>
    <xf numFmtId="0" fontId="100" fillId="0" borderId="21" xfId="0" applyFont="1" applyFill="1" applyBorder="1" applyAlignment="1">
      <alignment horizontal="right"/>
    </xf>
    <xf numFmtId="3" fontId="100" fillId="0" borderId="21" xfId="0" applyNumberFormat="1" applyFont="1" applyFill="1" applyBorder="1" applyAlignment="1">
      <alignment horizontal="center"/>
    </xf>
    <xf numFmtId="0" fontId="108" fillId="34" borderId="21" xfId="0" applyFont="1" applyFill="1" applyBorder="1" applyAlignment="1">
      <alignment horizontal="center" vertical="center"/>
    </xf>
    <xf numFmtId="0" fontId="108" fillId="34" borderId="21" xfId="0" applyFont="1" applyFill="1" applyBorder="1" applyAlignment="1">
      <alignment vertical="center"/>
    </xf>
    <xf numFmtId="3" fontId="108" fillId="34" borderId="21" xfId="0" applyNumberFormat="1" applyFont="1" applyFill="1" applyBorder="1" applyAlignment="1">
      <alignment horizontal="center" vertical="center"/>
    </xf>
    <xf numFmtId="0" fontId="108" fillId="34" borderId="21" xfId="80" applyFont="1" applyFill="1" applyBorder="1" applyAlignment="1">
      <alignment vertical="center"/>
    </xf>
    <xf numFmtId="3" fontId="108" fillId="34" borderId="21" xfId="80" applyNumberFormat="1" applyFont="1" applyFill="1" applyBorder="1" applyAlignment="1">
      <alignment horizontal="center" vertical="center"/>
    </xf>
    <xf numFmtId="167" fontId="108" fillId="34" borderId="21" xfId="80" applyNumberFormat="1" applyFont="1" applyFill="1" applyBorder="1" applyAlignment="1">
      <alignment horizontal="center" vertical="center"/>
    </xf>
    <xf numFmtId="3" fontId="108" fillId="0" borderId="21" xfId="80" applyNumberFormat="1" applyFont="1" applyFill="1" applyBorder="1" applyAlignment="1">
      <alignment horizontal="center" vertical="center"/>
    </xf>
    <xf numFmtId="49" fontId="73" fillId="40" borderId="23" xfId="0" applyNumberFormat="1" applyFont="1" applyFill="1" applyBorder="1" applyAlignment="1">
      <alignment horizontal="center" vertical="top" wrapText="1"/>
    </xf>
    <xf numFmtId="170" fontId="73" fillId="40" borderId="23" xfId="0" applyNumberFormat="1" applyFont="1" applyFill="1" applyBorder="1" applyAlignment="1">
      <alignment horizontal="center" vertical="top" wrapText="1"/>
    </xf>
    <xf numFmtId="4" fontId="73" fillId="40" borderId="23" xfId="0" applyNumberFormat="1" applyFont="1" applyFill="1" applyBorder="1" applyAlignment="1">
      <alignment horizontal="center" vertical="top" wrapText="1"/>
    </xf>
    <xf numFmtId="3" fontId="75" fillId="40" borderId="21" xfId="0" applyNumberFormat="1" applyFont="1" applyFill="1" applyBorder="1" applyAlignment="1">
      <alignment horizontal="center" vertical="top" wrapText="1"/>
    </xf>
    <xf numFmtId="3" fontId="75" fillId="40" borderId="60" xfId="0" applyNumberFormat="1" applyFont="1" applyFill="1" applyBorder="1" applyAlignment="1">
      <alignment horizontal="center" vertical="top" wrapText="1"/>
    </xf>
    <xf numFmtId="49" fontId="75" fillId="40" borderId="21" xfId="73" applyNumberFormat="1" applyFont="1" applyFill="1" applyBorder="1" applyAlignment="1">
      <alignment horizontal="center" vertical="top" wrapText="1"/>
    </xf>
    <xf numFmtId="170" fontId="75" fillId="40" borderId="21" xfId="73" applyNumberFormat="1" applyFont="1" applyFill="1" applyBorder="1" applyAlignment="1">
      <alignment horizontal="center" vertical="top" wrapText="1"/>
    </xf>
    <xf numFmtId="4" fontId="75" fillId="40" borderId="21" xfId="73" applyNumberFormat="1" applyFont="1" applyFill="1" applyBorder="1" applyAlignment="1">
      <alignment horizontal="center" vertical="top" wrapText="1"/>
    </xf>
    <xf numFmtId="3" fontId="75" fillId="40" borderId="21" xfId="73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3" fontId="8" fillId="34" borderId="0" xfId="0" applyNumberFormat="1" applyFont="1" applyFill="1" applyBorder="1" applyAlignment="1">
      <alignment horizontal="center"/>
    </xf>
    <xf numFmtId="0" fontId="62" fillId="0" borderId="0" xfId="76" applyFont="1"/>
    <xf numFmtId="0" fontId="10" fillId="0" borderId="0" xfId="76" applyFont="1"/>
    <xf numFmtId="0" fontId="58" fillId="0" borderId="0" xfId="76" applyFont="1" applyAlignment="1">
      <alignment horizontal="center"/>
    </xf>
    <xf numFmtId="0" fontId="62" fillId="0" borderId="0" xfId="76" applyFont="1" applyAlignment="1">
      <alignment wrapText="1"/>
    </xf>
    <xf numFmtId="0" fontId="8" fillId="0" borderId="0" xfId="76" applyFont="1"/>
    <xf numFmtId="0" fontId="46" fillId="0" borderId="0" xfId="76" applyFont="1"/>
    <xf numFmtId="0" fontId="8" fillId="0" borderId="63" xfId="76" applyFont="1" applyBorder="1"/>
    <xf numFmtId="0" fontId="8" fillId="0" borderId="0" xfId="76" applyFont="1" applyBorder="1"/>
    <xf numFmtId="0" fontId="11" fillId="0" borderId="0" xfId="76" applyFont="1" applyAlignment="1">
      <alignment horizontal="center"/>
    </xf>
    <xf numFmtId="0" fontId="11" fillId="0" borderId="0" xfId="76" applyFont="1"/>
    <xf numFmtId="166" fontId="7" fillId="34" borderId="21" xfId="78" applyNumberFormat="1" applyFont="1" applyFill="1" applyBorder="1" applyAlignment="1">
      <alignment horizontal="center"/>
    </xf>
    <xf numFmtId="0" fontId="7" fillId="34" borderId="21" xfId="78" applyFont="1" applyFill="1" applyBorder="1" applyAlignment="1">
      <alignment horizontal="center"/>
    </xf>
    <xf numFmtId="166" fontId="7" fillId="34" borderId="21" xfId="0" applyNumberFormat="1" applyFont="1" applyFill="1" applyBorder="1" applyAlignment="1">
      <alignment horizontal="center"/>
    </xf>
    <xf numFmtId="0" fontId="7" fillId="34" borderId="2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6" fontId="8" fillId="34" borderId="21" xfId="0" applyNumberFormat="1" applyFont="1" applyFill="1" applyBorder="1" applyAlignment="1">
      <alignment horizontal="center"/>
    </xf>
    <xf numFmtId="3" fontId="8" fillId="34" borderId="21" xfId="0" applyNumberFormat="1" applyFont="1" applyFill="1" applyBorder="1" applyAlignment="1">
      <alignment horizontal="center"/>
    </xf>
    <xf numFmtId="3" fontId="8" fillId="36" borderId="2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34" borderId="0" xfId="0" applyFont="1" applyFill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3" fontId="8" fillId="38" borderId="21" xfId="0" applyNumberFormat="1" applyFont="1" applyFill="1" applyBorder="1" applyAlignment="1">
      <alignment horizontal="center"/>
    </xf>
    <xf numFmtId="166" fontId="8" fillId="0" borderId="21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right"/>
    </xf>
    <xf numFmtId="3" fontId="8" fillId="35" borderId="21" xfId="0" applyNumberFormat="1" applyFont="1" applyFill="1" applyBorder="1" applyAlignment="1">
      <alignment horizontal="center"/>
    </xf>
    <xf numFmtId="0" fontId="12" fillId="34" borderId="21" xfId="0" applyFont="1" applyFill="1" applyBorder="1" applyAlignment="1">
      <alignment horizontal="right"/>
    </xf>
    <xf numFmtId="3" fontId="8" fillId="37" borderId="21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66" fontId="12" fillId="34" borderId="21" xfId="0" applyNumberFormat="1" applyFont="1" applyFill="1" applyBorder="1" applyAlignment="1">
      <alignment horizontal="center"/>
    </xf>
    <xf numFmtId="3" fontId="4" fillId="34" borderId="21" xfId="0" applyNumberFormat="1" applyFont="1" applyFill="1" applyBorder="1" applyAlignment="1">
      <alignment horizontal="center"/>
    </xf>
    <xf numFmtId="166" fontId="10" fillId="34" borderId="21" xfId="0" applyNumberFormat="1" applyFont="1" applyFill="1" applyBorder="1" applyAlignment="1">
      <alignment horizontal="center"/>
    </xf>
    <xf numFmtId="166" fontId="8" fillId="34" borderId="0" xfId="0" applyNumberFormat="1" applyFont="1" applyFill="1" applyBorder="1" applyAlignment="1">
      <alignment horizontal="center"/>
    </xf>
    <xf numFmtId="0" fontId="8" fillId="34" borderId="0" xfId="0" applyFont="1" applyFill="1" applyBorder="1" applyAlignment="1">
      <alignment horizontal="right"/>
    </xf>
    <xf numFmtId="0" fontId="10" fillId="0" borderId="30" xfId="0" applyFont="1" applyFill="1" applyBorder="1" applyAlignment="1">
      <alignment horizontal="center" vertical="top"/>
    </xf>
    <xf numFmtId="0" fontId="59" fillId="0" borderId="21" xfId="76" applyFont="1" applyFill="1" applyBorder="1" applyAlignment="1">
      <alignment horizontal="center" vertical="top"/>
    </xf>
    <xf numFmtId="0" fontId="60" fillId="0" borderId="0" xfId="76" applyFont="1" applyFill="1" applyBorder="1" applyAlignment="1">
      <alignment vertical="top"/>
    </xf>
    <xf numFmtId="0" fontId="8" fillId="0" borderId="58" xfId="0" applyFont="1" applyFill="1" applyBorder="1" applyAlignment="1">
      <alignment horizontal="center" vertical="top"/>
    </xf>
    <xf numFmtId="0" fontId="8" fillId="0" borderId="56" xfId="0" applyFont="1" applyFill="1" applyBorder="1" applyAlignment="1">
      <alignment horizontal="center" vertical="top"/>
    </xf>
    <xf numFmtId="0" fontId="7" fillId="40" borderId="58" xfId="0" applyFont="1" applyFill="1" applyBorder="1" applyAlignment="1">
      <alignment horizontal="center" vertical="top"/>
    </xf>
    <xf numFmtId="0" fontId="7" fillId="40" borderId="30" xfId="0" applyFont="1" applyFill="1" applyBorder="1" applyAlignment="1">
      <alignment horizontal="center" vertical="top"/>
    </xf>
    <xf numFmtId="3" fontId="7" fillId="40" borderId="59" xfId="0" applyNumberFormat="1" applyFont="1" applyFill="1" applyBorder="1" applyAlignment="1">
      <alignment horizontal="center" vertical="top"/>
    </xf>
    <xf numFmtId="0" fontId="8" fillId="40" borderId="56" xfId="0" applyFont="1" applyFill="1" applyBorder="1" applyAlignment="1">
      <alignment horizontal="center" vertical="top"/>
    </xf>
    <xf numFmtId="0" fontId="7" fillId="40" borderId="37" xfId="0" applyFont="1" applyFill="1" applyBorder="1" applyAlignment="1">
      <alignment horizontal="right" vertical="top"/>
    </xf>
    <xf numFmtId="3" fontId="8" fillId="0" borderId="21" xfId="0" applyNumberFormat="1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top"/>
    </xf>
    <xf numFmtId="0" fontId="7" fillId="40" borderId="37" xfId="0" applyFont="1" applyFill="1" applyBorder="1" applyAlignment="1">
      <alignment horizontal="center" vertical="top"/>
    </xf>
    <xf numFmtId="0" fontId="8" fillId="0" borderId="69" xfId="0" applyFont="1" applyFill="1" applyBorder="1" applyAlignment="1">
      <alignment horizontal="center" vertical="top"/>
    </xf>
    <xf numFmtId="0" fontId="53" fillId="0" borderId="0" xfId="0" applyFont="1" applyFill="1" applyAlignment="1">
      <alignment horizontal="center" vertical="top"/>
    </xf>
    <xf numFmtId="0" fontId="7" fillId="0" borderId="21" xfId="73" applyFont="1" applyFill="1" applyBorder="1" applyAlignment="1">
      <alignment horizontal="center" vertical="top"/>
    </xf>
    <xf numFmtId="0" fontId="7" fillId="0" borderId="0" xfId="73" applyFont="1" applyFill="1" applyAlignment="1">
      <alignment horizontal="center" vertical="top"/>
    </xf>
    <xf numFmtId="0" fontId="7" fillId="40" borderId="21" xfId="73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60" fillId="0" borderId="21" xfId="0" applyFont="1" applyBorder="1" applyAlignment="1">
      <alignment horizontal="center"/>
    </xf>
    <xf numFmtId="0" fontId="8" fillId="0" borderId="21" xfId="0" applyFont="1" applyFill="1" applyBorder="1"/>
    <xf numFmtId="0" fontId="8" fillId="0" borderId="0" xfId="0" applyFont="1" applyAlignment="1">
      <alignment horizontal="center"/>
    </xf>
    <xf numFmtId="0" fontId="104" fillId="0" borderId="0" xfId="79" applyFont="1" applyFill="1" applyBorder="1" applyAlignment="1">
      <alignment horizontal="center"/>
    </xf>
    <xf numFmtId="49" fontId="105" fillId="34" borderId="24" xfId="73" applyNumberFormat="1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63" xfId="0" applyBorder="1"/>
    <xf numFmtId="0" fontId="0" fillId="0" borderId="73" xfId="0" applyBorder="1"/>
    <xf numFmtId="0" fontId="111" fillId="0" borderId="40" xfId="69" applyFont="1" applyFill="1" applyBorder="1">
      <alignment horizontal="center" vertical="center"/>
      <protection hidden="1"/>
    </xf>
    <xf numFmtId="0" fontId="111" fillId="0" borderId="49" xfId="69" applyFont="1" applyFill="1" applyBorder="1">
      <alignment horizontal="center" vertical="center"/>
      <protection hidden="1"/>
    </xf>
    <xf numFmtId="0" fontId="111" fillId="0" borderId="0" xfId="69" applyFont="1" applyFill="1" applyBorder="1">
      <alignment horizontal="center" vertical="center"/>
      <protection hidden="1"/>
    </xf>
    <xf numFmtId="0" fontId="10" fillId="0" borderId="20" xfId="69" applyFont="1" applyFill="1" applyBorder="1">
      <alignment horizontal="center" vertical="center"/>
      <protection hidden="1"/>
    </xf>
    <xf numFmtId="0" fontId="10" fillId="0" borderId="0" xfId="69" applyFont="1" applyFill="1" applyBorder="1">
      <alignment horizontal="center" vertical="center"/>
      <protection hidden="1"/>
    </xf>
    <xf numFmtId="0" fontId="70" fillId="0" borderId="20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3" fillId="0" borderId="20" xfId="0" applyFont="1" applyBorder="1"/>
    <xf numFmtId="0" fontId="11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1" xfId="0" applyFont="1" applyBorder="1"/>
    <xf numFmtId="0" fontId="3" fillId="0" borderId="63" xfId="0" applyFont="1" applyBorder="1"/>
    <xf numFmtId="0" fontId="0" fillId="0" borderId="49" xfId="0" applyFill="1" applyBorder="1"/>
    <xf numFmtId="0" fontId="0" fillId="0" borderId="53" xfId="0" applyFill="1" applyBorder="1"/>
    <xf numFmtId="0" fontId="0" fillId="0" borderId="19" xfId="0" applyFill="1" applyBorder="1"/>
    <xf numFmtId="0" fontId="37" fillId="0" borderId="0" xfId="0" applyFont="1" applyBorder="1"/>
    <xf numFmtId="0" fontId="37" fillId="0" borderId="19" xfId="0" applyFont="1" applyBorder="1"/>
    <xf numFmtId="0" fontId="35" fillId="0" borderId="0" xfId="79" applyFont="1" applyBorder="1" applyAlignment="1"/>
    <xf numFmtId="49" fontId="50" fillId="0" borderId="0" xfId="0" applyNumberFormat="1" applyFont="1" applyAlignment="1">
      <alignment horizontal="right" readingOrder="2"/>
    </xf>
    <xf numFmtId="0" fontId="50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right" readingOrder="2"/>
    </xf>
    <xf numFmtId="49" fontId="55" fillId="0" borderId="0" xfId="0" applyNumberFormat="1" applyFont="1" applyAlignment="1">
      <alignment horizontal="right" readingOrder="2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right"/>
    </xf>
    <xf numFmtId="49" fontId="55" fillId="0" borderId="0" xfId="0" applyNumberFormat="1" applyFont="1" applyAlignment="1">
      <alignment horizontal="center"/>
    </xf>
    <xf numFmtId="0" fontId="4" fillId="0" borderId="21" xfId="79" applyFont="1" applyFill="1" applyBorder="1"/>
    <xf numFmtId="0" fontId="11" fillId="0" borderId="21" xfId="79" applyFont="1" applyFill="1" applyBorder="1" applyAlignment="1">
      <alignment horizontal="center" vertical="center" wrapText="1"/>
    </xf>
    <xf numFmtId="3" fontId="4" fillId="0" borderId="21" xfId="79" applyNumberFormat="1" applyFont="1" applyFill="1" applyBorder="1" applyAlignment="1">
      <alignment horizontal="center" vertical="center"/>
    </xf>
    <xf numFmtId="0" fontId="4" fillId="0" borderId="21" xfId="79" applyFont="1" applyFill="1" applyBorder="1" applyAlignment="1">
      <alignment wrapText="1"/>
    </xf>
    <xf numFmtId="0" fontId="115" fillId="0" borderId="21" xfId="79" applyFont="1" applyFill="1" applyBorder="1" applyAlignment="1">
      <alignment wrapText="1"/>
    </xf>
    <xf numFmtId="0" fontId="11" fillId="0" borderId="21" xfId="79" applyFont="1" applyFill="1" applyBorder="1" applyAlignment="1">
      <alignment wrapText="1"/>
    </xf>
    <xf numFmtId="3" fontId="11" fillId="0" borderId="21" xfId="79" applyNumberFormat="1" applyFont="1" applyFill="1" applyBorder="1" applyAlignment="1">
      <alignment horizontal="center" vertical="center"/>
    </xf>
    <xf numFmtId="3" fontId="4" fillId="0" borderId="21" xfId="48" applyNumberFormat="1" applyFont="1" applyFill="1" applyBorder="1" applyAlignment="1">
      <alignment horizontal="center" vertical="center"/>
    </xf>
    <xf numFmtId="165" fontId="60" fillId="0" borderId="21" xfId="79" applyNumberFormat="1" applyFont="1" applyFill="1" applyBorder="1" applyAlignment="1">
      <alignment horizontal="center"/>
    </xf>
    <xf numFmtId="0" fontId="60" fillId="0" borderId="21" xfId="79" applyFont="1" applyFill="1" applyBorder="1" applyAlignment="1">
      <alignment horizontal="center" vertical="center" wrapText="1"/>
    </xf>
    <xf numFmtId="3" fontId="60" fillId="0" borderId="21" xfId="79" applyNumberFormat="1" applyFont="1" applyFill="1" applyBorder="1" applyAlignment="1">
      <alignment horizontal="center" vertical="center" wrapText="1"/>
    </xf>
    <xf numFmtId="0" fontId="10" fillId="0" borderId="21" xfId="79" applyFont="1" applyFill="1" applyBorder="1" applyAlignment="1">
      <alignment wrapText="1"/>
    </xf>
    <xf numFmtId="165" fontId="10" fillId="0" borderId="21" xfId="79" applyNumberFormat="1" applyFont="1" applyFill="1" applyBorder="1" applyAlignment="1">
      <alignment horizontal="center" vertical="center"/>
    </xf>
    <xf numFmtId="3" fontId="10" fillId="0" borderId="21" xfId="79" applyNumberFormat="1" applyFont="1" applyFill="1" applyBorder="1" applyAlignment="1">
      <alignment horizontal="center"/>
    </xf>
    <xf numFmtId="165" fontId="10" fillId="0" borderId="21" xfId="79" applyNumberFormat="1" applyFont="1" applyFill="1" applyBorder="1" applyAlignment="1">
      <alignment horizontal="center"/>
    </xf>
    <xf numFmtId="165" fontId="59" fillId="0" borderId="21" xfId="79" applyNumberFormat="1" applyFont="1" applyFill="1" applyBorder="1" applyAlignment="1">
      <alignment horizontal="center"/>
    </xf>
    <xf numFmtId="165" fontId="60" fillId="0" borderId="21" xfId="79" applyNumberFormat="1" applyFont="1" applyFill="1" applyBorder="1" applyAlignment="1">
      <alignment horizontal="center" vertical="center"/>
    </xf>
    <xf numFmtId="165" fontId="59" fillId="0" borderId="21" xfId="79" applyNumberFormat="1" applyFont="1" applyFill="1" applyBorder="1" applyAlignment="1">
      <alignment horizontal="center" vertical="center"/>
    </xf>
    <xf numFmtId="0" fontId="59" fillId="0" borderId="21" xfId="0" applyFont="1" applyFill="1" applyBorder="1"/>
    <xf numFmtId="0" fontId="60" fillId="0" borderId="21" xfId="0" applyFont="1" applyFill="1" applyBorder="1"/>
    <xf numFmtId="0" fontId="60" fillId="0" borderId="0" xfId="76" applyFont="1"/>
    <xf numFmtId="0" fontId="60" fillId="0" borderId="0" xfId="81" applyFont="1"/>
    <xf numFmtId="3" fontId="59" fillId="0" borderId="29" xfId="48" applyNumberFormat="1" applyFont="1" applyBorder="1" applyAlignment="1">
      <alignment horizontal="center"/>
    </xf>
    <xf numFmtId="3" fontId="59" fillId="0" borderId="21" xfId="0" applyNumberFormat="1" applyFont="1" applyBorder="1" applyAlignment="1">
      <alignment horizontal="center"/>
    </xf>
    <xf numFmtId="3" fontId="59" fillId="0" borderId="29" xfId="0" applyNumberFormat="1" applyFont="1" applyBorder="1" applyAlignment="1">
      <alignment horizontal="center"/>
    </xf>
    <xf numFmtId="3" fontId="59" fillId="0" borderId="21" xfId="0" applyNumberFormat="1" applyFont="1" applyFill="1" applyBorder="1" applyAlignment="1">
      <alignment horizontal="center"/>
    </xf>
    <xf numFmtId="3" fontId="59" fillId="0" borderId="29" xfId="48" applyNumberFormat="1" applyFont="1" applyFill="1" applyBorder="1" applyAlignment="1">
      <alignment horizontal="center"/>
    </xf>
    <xf numFmtId="3" fontId="59" fillId="0" borderId="29" xfId="0" applyNumberFormat="1" applyFont="1" applyFill="1" applyBorder="1" applyAlignment="1">
      <alignment horizontal="center"/>
    </xf>
    <xf numFmtId="3" fontId="59" fillId="0" borderId="30" xfId="0" applyNumberFormat="1" applyFont="1" applyBorder="1" applyAlignment="1">
      <alignment horizontal="center"/>
    </xf>
    <xf numFmtId="3" fontId="84" fillId="0" borderId="21" xfId="77" applyNumberFormat="1" applyFont="1" applyBorder="1" applyAlignment="1">
      <alignment horizontal="center" vertical="center"/>
    </xf>
    <xf numFmtId="3" fontId="84" fillId="31" borderId="21" xfId="77" applyNumberFormat="1" applyFont="1" applyFill="1" applyBorder="1" applyAlignment="1">
      <alignment horizontal="center" vertical="center"/>
    </xf>
    <xf numFmtId="3" fontId="84" fillId="0" borderId="21" xfId="77" applyNumberFormat="1" applyFont="1" applyFill="1" applyBorder="1" applyAlignment="1">
      <alignment horizontal="center" vertical="center"/>
    </xf>
    <xf numFmtId="3" fontId="83" fillId="0" borderId="21" xfId="77" applyNumberFormat="1" applyFont="1" applyFill="1" applyBorder="1" applyAlignment="1">
      <alignment horizontal="center" vertical="center"/>
    </xf>
    <xf numFmtId="2" fontId="83" fillId="0" borderId="21" xfId="77" applyNumberFormat="1" applyFont="1" applyFill="1" applyBorder="1" applyAlignment="1">
      <alignment horizontal="center" vertical="center"/>
    </xf>
    <xf numFmtId="0" fontId="67" fillId="0" borderId="0" xfId="77" applyFont="1" applyBorder="1" applyAlignment="1"/>
    <xf numFmtId="0" fontId="84" fillId="0" borderId="0" xfId="77" applyFont="1" applyBorder="1"/>
    <xf numFmtId="0" fontId="84" fillId="31" borderId="0" xfId="77" applyFont="1" applyFill="1" applyBorder="1"/>
    <xf numFmtId="0" fontId="86" fillId="0" borderId="0" xfId="77" applyFont="1" applyBorder="1"/>
    <xf numFmtId="0" fontId="82" fillId="0" borderId="0" xfId="77" applyFont="1" applyBorder="1"/>
    <xf numFmtId="0" fontId="84" fillId="0" borderId="21" xfId="77" applyFont="1" applyBorder="1" applyAlignment="1">
      <alignment horizontal="center"/>
    </xf>
    <xf numFmtId="0" fontId="4" fillId="0" borderId="0" xfId="0" applyNumberFormat="1" applyFont="1"/>
    <xf numFmtId="0" fontId="11" fillId="0" borderId="0" xfId="0" applyNumberFormat="1" applyFont="1"/>
    <xf numFmtId="0" fontId="4" fillId="0" borderId="0" xfId="0" applyFont="1" applyAlignment="1">
      <alignment horizontal="right"/>
    </xf>
    <xf numFmtId="0" fontId="4" fillId="0" borderId="25" xfId="0" applyNumberFormat="1" applyFont="1" applyBorder="1"/>
    <xf numFmtId="0" fontId="4" fillId="0" borderId="25" xfId="0" applyFont="1" applyBorder="1"/>
    <xf numFmtId="0" fontId="4" fillId="0" borderId="0" xfId="0" applyFont="1" applyAlignment="1"/>
    <xf numFmtId="0" fontId="4" fillId="0" borderId="0" xfId="0" applyFont="1" applyBorder="1"/>
    <xf numFmtId="0" fontId="12" fillId="0" borderId="64" xfId="0" applyFont="1" applyBorder="1"/>
    <xf numFmtId="0" fontId="8" fillId="0" borderId="0" xfId="81" applyBorder="1"/>
    <xf numFmtId="0" fontId="4" fillId="0" borderId="21" xfId="81" applyFont="1" applyBorder="1"/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17" fontId="11" fillId="0" borderId="21" xfId="0" applyNumberFormat="1" applyFont="1" applyBorder="1" applyAlignment="1">
      <alignment vertical="center" wrapText="1"/>
    </xf>
    <xf numFmtId="0" fontId="11" fillId="0" borderId="21" xfId="81" applyFont="1" applyBorder="1" applyAlignment="1">
      <alignment horizontal="center" wrapText="1"/>
    </xf>
    <xf numFmtId="0" fontId="4" fillId="0" borderId="21" xfId="81" applyFont="1" applyBorder="1" applyAlignment="1">
      <alignment wrapText="1"/>
    </xf>
    <xf numFmtId="3" fontId="10" fillId="0" borderId="21" xfId="76" applyNumberFormat="1" applyFont="1" applyFill="1" applyBorder="1" applyAlignment="1">
      <alignment horizontal="center" vertical="center"/>
    </xf>
    <xf numFmtId="0" fontId="11" fillId="0" borderId="21" xfId="76" applyFont="1" applyFill="1" applyBorder="1" applyAlignment="1">
      <alignment horizontal="center" vertical="center" wrapText="1"/>
    </xf>
    <xf numFmtId="0" fontId="4" fillId="0" borderId="21" xfId="76" applyFont="1" applyFill="1" applyBorder="1" applyAlignment="1">
      <alignment horizontal="center" vertical="center"/>
    </xf>
    <xf numFmtId="3" fontId="4" fillId="0" borderId="21" xfId="76" applyNumberFormat="1" applyFont="1" applyFill="1" applyBorder="1" applyAlignment="1">
      <alignment horizontal="center" vertical="center"/>
    </xf>
    <xf numFmtId="3" fontId="11" fillId="0" borderId="21" xfId="76" applyNumberFormat="1" applyFont="1" applyFill="1" applyBorder="1" applyAlignment="1">
      <alignment horizontal="center" vertical="center"/>
    </xf>
    <xf numFmtId="0" fontId="62" fillId="0" borderId="0" xfId="76" applyFont="1" applyAlignment="1">
      <alignment horizontal="center"/>
    </xf>
    <xf numFmtId="0" fontId="93" fillId="0" borderId="0" xfId="76" applyFont="1" applyAlignment="1">
      <alignment horizontal="center"/>
    </xf>
    <xf numFmtId="0" fontId="4" fillId="0" borderId="21" xfId="76" applyFont="1" applyFill="1" applyBorder="1" applyAlignment="1">
      <alignment horizontal="right" vertical="center"/>
    </xf>
    <xf numFmtId="0" fontId="11" fillId="0" borderId="21" xfId="76" applyFont="1" applyFill="1" applyBorder="1" applyAlignment="1">
      <alignment horizontal="right" vertical="center"/>
    </xf>
    <xf numFmtId="0" fontId="10" fillId="0" borderId="21" xfId="76" applyFont="1" applyFill="1" applyBorder="1" applyAlignment="1">
      <alignment horizontal="right" vertical="center"/>
    </xf>
    <xf numFmtId="165" fontId="4" fillId="0" borderId="21" xfId="76" applyNumberFormat="1" applyFont="1" applyFill="1" applyBorder="1" applyAlignment="1">
      <alignment horizontal="center" vertical="center"/>
    </xf>
    <xf numFmtId="165" fontId="11" fillId="0" borderId="21" xfId="76" applyNumberFormat="1" applyFont="1" applyFill="1" applyBorder="1" applyAlignment="1">
      <alignment horizontal="center" vertical="center"/>
    </xf>
    <xf numFmtId="165" fontId="10" fillId="0" borderId="21" xfId="76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/>
    <xf numFmtId="0" fontId="62" fillId="0" borderId="0" xfId="0" applyFont="1" applyFill="1"/>
    <xf numFmtId="0" fontId="8" fillId="0" borderId="0" xfId="0" applyFont="1" applyFill="1" applyBorder="1"/>
    <xf numFmtId="0" fontId="62" fillId="0" borderId="21" xfId="0" applyFont="1" applyFill="1" applyBorder="1"/>
    <xf numFmtId="0" fontId="98" fillId="34" borderId="0" xfId="0" applyFont="1" applyFill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34" borderId="0" xfId="0" applyFont="1" applyFill="1" applyBorder="1" applyAlignment="1">
      <alignment horizontal="center"/>
    </xf>
    <xf numFmtId="0" fontId="7" fillId="34" borderId="0" xfId="0" applyFont="1" applyFill="1" applyBorder="1" applyAlignment="1">
      <alignment horizontal="center"/>
    </xf>
    <xf numFmtId="0" fontId="8" fillId="34" borderId="0" xfId="0" applyFont="1" applyFill="1" applyBorder="1" applyAlignment="1"/>
    <xf numFmtId="166" fontId="60" fillId="34" borderId="21" xfId="0" applyNumberFormat="1" applyFont="1" applyFill="1" applyBorder="1" applyAlignment="1">
      <alignment horizontal="center"/>
    </xf>
    <xf numFmtId="167" fontId="60" fillId="34" borderId="21" xfId="80" applyNumberFormat="1" applyFont="1" applyFill="1" applyBorder="1" applyAlignment="1">
      <alignment horizontal="center"/>
    </xf>
    <xf numFmtId="0" fontId="59" fillId="34" borderId="21" xfId="80" applyFont="1" applyFill="1" applyBorder="1" applyAlignment="1"/>
    <xf numFmtId="3" fontId="59" fillId="34" borderId="21" xfId="0" applyNumberFormat="1" applyFont="1" applyFill="1" applyBorder="1" applyAlignment="1">
      <alignment horizontal="center"/>
    </xf>
    <xf numFmtId="167" fontId="116" fillId="34" borderId="21" xfId="80" applyNumberFormat="1" applyFont="1" applyFill="1" applyBorder="1" applyAlignment="1">
      <alignment horizontal="center"/>
    </xf>
    <xf numFmtId="0" fontId="116" fillId="34" borderId="21" xfId="80" applyFont="1" applyFill="1" applyBorder="1" applyAlignment="1"/>
    <xf numFmtId="3" fontId="116" fillId="34" borderId="21" xfId="80" applyNumberFormat="1" applyFont="1" applyFill="1" applyBorder="1" applyAlignment="1">
      <alignment horizontal="center"/>
    </xf>
    <xf numFmtId="167" fontId="61" fillId="34" borderId="21" xfId="80" applyNumberFormat="1" applyFont="1" applyFill="1" applyBorder="1" applyAlignment="1">
      <alignment horizontal="center"/>
    </xf>
    <xf numFmtId="0" fontId="61" fillId="34" borderId="21" xfId="80" applyFont="1" applyFill="1" applyBorder="1" applyAlignment="1"/>
    <xf numFmtId="3" fontId="59" fillId="35" borderId="21" xfId="0" applyNumberFormat="1" applyFont="1" applyFill="1" applyBorder="1" applyAlignment="1">
      <alignment horizontal="center"/>
    </xf>
    <xf numFmtId="167" fontId="117" fillId="34" borderId="21" xfId="80" applyNumberFormat="1" applyFont="1" applyFill="1" applyBorder="1" applyAlignment="1">
      <alignment horizontal="center" vertical="center"/>
    </xf>
    <xf numFmtId="0" fontId="117" fillId="34" borderId="21" xfId="80" applyFont="1" applyFill="1" applyBorder="1" applyAlignment="1">
      <alignment vertical="center"/>
    </xf>
    <xf numFmtId="3" fontId="117" fillId="34" borderId="21" xfId="80" applyNumberFormat="1" applyFont="1" applyFill="1" applyBorder="1" applyAlignment="1">
      <alignment horizontal="center" vertical="center"/>
    </xf>
    <xf numFmtId="167" fontId="108" fillId="34" borderId="21" xfId="80" applyNumberFormat="1" applyFont="1" applyFill="1" applyBorder="1" applyAlignment="1">
      <alignment horizontal="center"/>
    </xf>
    <xf numFmtId="0" fontId="108" fillId="34" borderId="21" xfId="80" applyFont="1" applyFill="1" applyBorder="1" applyAlignment="1"/>
    <xf numFmtId="0" fontId="59" fillId="0" borderId="21" xfId="80" applyFont="1" applyFill="1" applyBorder="1" applyAlignment="1"/>
    <xf numFmtId="3" fontId="116" fillId="0" borderId="21" xfId="80" applyNumberFormat="1" applyFont="1" applyFill="1" applyBorder="1" applyAlignment="1">
      <alignment horizontal="center"/>
    </xf>
    <xf numFmtId="0" fontId="59" fillId="34" borderId="21" xfId="0" applyFont="1" applyFill="1" applyBorder="1" applyAlignment="1"/>
    <xf numFmtId="3" fontId="117" fillId="0" borderId="21" xfId="80" applyNumberFormat="1" applyFont="1" applyFill="1" applyBorder="1" applyAlignment="1">
      <alignment horizontal="center" vertical="center"/>
    </xf>
    <xf numFmtId="167" fontId="118" fillId="34" borderId="21" xfId="80" applyNumberFormat="1" applyFont="1" applyFill="1" applyBorder="1" applyAlignment="1">
      <alignment horizontal="center"/>
    </xf>
    <xf numFmtId="0" fontId="119" fillId="34" borderId="21" xfId="80" applyFont="1" applyFill="1" applyBorder="1" applyAlignment="1"/>
    <xf numFmtId="167" fontId="60" fillId="0" borderId="21" xfId="80" applyNumberFormat="1" applyFont="1" applyFill="1" applyBorder="1" applyAlignment="1">
      <alignment horizontal="center"/>
    </xf>
    <xf numFmtId="167" fontId="120" fillId="34" borderId="21" xfId="80" applyNumberFormat="1" applyFont="1" applyFill="1" applyBorder="1" applyAlignment="1">
      <alignment horizontal="center"/>
    </xf>
    <xf numFmtId="0" fontId="120" fillId="34" borderId="21" xfId="80" applyFont="1" applyFill="1" applyBorder="1" applyAlignment="1"/>
    <xf numFmtId="3" fontId="120" fillId="0" borderId="21" xfId="80" applyNumberFormat="1" applyFont="1" applyFill="1" applyBorder="1" applyAlignment="1">
      <alignment horizontal="center"/>
    </xf>
    <xf numFmtId="0" fontId="59" fillId="34" borderId="21" xfId="0" applyFont="1" applyFill="1" applyBorder="1" applyAlignment="1">
      <alignment horizontal="right"/>
    </xf>
    <xf numFmtId="167" fontId="118" fillId="0" borderId="21" xfId="80" applyNumberFormat="1" applyFont="1" applyFill="1" applyBorder="1" applyAlignment="1">
      <alignment horizontal="center"/>
    </xf>
    <xf numFmtId="0" fontId="119" fillId="0" borderId="21" xfId="80" applyFont="1" applyFill="1" applyBorder="1" applyAlignment="1"/>
    <xf numFmtId="0" fontId="59" fillId="0" borderId="21" xfId="0" applyFont="1" applyFill="1" applyBorder="1" applyAlignment="1"/>
    <xf numFmtId="167" fontId="116" fillId="34" borderId="21" xfId="0" applyNumberFormat="1" applyFont="1" applyFill="1" applyBorder="1" applyAlignment="1">
      <alignment horizontal="center"/>
    </xf>
    <xf numFmtId="0" fontId="116" fillId="34" borderId="21" xfId="0" applyFont="1" applyFill="1" applyBorder="1" applyAlignment="1"/>
    <xf numFmtId="3" fontId="116" fillId="34" borderId="21" xfId="0" applyNumberFormat="1" applyFont="1" applyFill="1" applyBorder="1" applyAlignment="1">
      <alignment horizontal="center"/>
    </xf>
    <xf numFmtId="167" fontId="61" fillId="34" borderId="21" xfId="0" applyNumberFormat="1" applyFont="1" applyFill="1" applyBorder="1" applyAlignment="1">
      <alignment horizontal="center"/>
    </xf>
    <xf numFmtId="0" fontId="61" fillId="34" borderId="21" xfId="0" applyFont="1" applyFill="1" applyBorder="1" applyAlignment="1"/>
    <xf numFmtId="0" fontId="116" fillId="34" borderId="21" xfId="80" applyFont="1" applyFill="1" applyBorder="1" applyAlignment="1">
      <alignment horizontal="center"/>
    </xf>
    <xf numFmtId="0" fontId="121" fillId="34" borderId="21" xfId="0" applyFont="1" applyFill="1" applyBorder="1" applyAlignment="1">
      <alignment horizontal="center"/>
    </xf>
    <xf numFmtId="0" fontId="121" fillId="34" borderId="21" xfId="80" applyFont="1" applyFill="1" applyBorder="1" applyAlignment="1"/>
    <xf numFmtId="167" fontId="60" fillId="0" borderId="21" xfId="0" applyNumberFormat="1" applyFont="1" applyFill="1" applyBorder="1" applyAlignment="1">
      <alignment horizontal="center"/>
    </xf>
    <xf numFmtId="167" fontId="60" fillId="34" borderId="21" xfId="0" applyNumberFormat="1" applyFont="1" applyFill="1" applyBorder="1" applyAlignment="1">
      <alignment horizontal="center"/>
    </xf>
    <xf numFmtId="0" fontId="117" fillId="34" borderId="21" xfId="0" applyFont="1" applyFill="1" applyBorder="1" applyAlignment="1">
      <alignment horizontal="center" vertical="center"/>
    </xf>
    <xf numFmtId="0" fontId="117" fillId="34" borderId="21" xfId="0" applyFont="1" applyFill="1" applyBorder="1" applyAlignment="1">
      <alignment vertical="center"/>
    </xf>
    <xf numFmtId="3" fontId="117" fillId="34" borderId="21" xfId="0" applyNumberFormat="1" applyFont="1" applyFill="1" applyBorder="1" applyAlignment="1">
      <alignment horizontal="center" vertical="center"/>
    </xf>
    <xf numFmtId="0" fontId="116" fillId="34" borderId="21" xfId="0" applyFont="1" applyFill="1" applyBorder="1" applyAlignment="1">
      <alignment horizontal="center"/>
    </xf>
    <xf numFmtId="0" fontId="117" fillId="34" borderId="21" xfId="0" applyFont="1" applyFill="1" applyBorder="1" applyAlignment="1">
      <alignment horizontal="center"/>
    </xf>
    <xf numFmtId="0" fontId="117" fillId="34" borderId="21" xfId="0" applyFont="1" applyFill="1" applyBorder="1" applyAlignment="1"/>
    <xf numFmtId="3" fontId="117" fillId="34" borderId="21" xfId="0" applyNumberFormat="1" applyFont="1" applyFill="1" applyBorder="1" applyAlignment="1">
      <alignment horizontal="center"/>
    </xf>
    <xf numFmtId="0" fontId="122" fillId="34" borderId="21" xfId="0" applyFont="1" applyFill="1" applyBorder="1" applyAlignment="1">
      <alignment horizontal="center"/>
    </xf>
    <xf numFmtId="0" fontId="122" fillId="34" borderId="21" xfId="0" applyFont="1" applyFill="1" applyBorder="1" applyAlignment="1"/>
    <xf numFmtId="3" fontId="122" fillId="34" borderId="21" xfId="0" applyNumberFormat="1" applyFont="1" applyFill="1" applyBorder="1" applyAlignment="1">
      <alignment horizontal="center"/>
    </xf>
    <xf numFmtId="0" fontId="60" fillId="34" borderId="21" xfId="78" applyFont="1" applyFill="1" applyBorder="1" applyAlignment="1">
      <alignment horizontal="center" vertical="center" wrapText="1"/>
    </xf>
    <xf numFmtId="49" fontId="60" fillId="34" borderId="21" xfId="78" applyNumberFormat="1" applyFont="1" applyFill="1" applyBorder="1" applyAlignment="1">
      <alignment horizontal="center" vertical="center" wrapText="1"/>
    </xf>
    <xf numFmtId="166" fontId="60" fillId="34" borderId="21" xfId="0" applyNumberFormat="1" applyFont="1" applyFill="1" applyBorder="1" applyAlignment="1">
      <alignment horizontal="center" vertical="center" wrapText="1"/>
    </xf>
    <xf numFmtId="0" fontId="60" fillId="34" borderId="21" xfId="0" applyFont="1" applyFill="1" applyBorder="1" applyAlignment="1">
      <alignment horizontal="center" vertical="center" wrapText="1"/>
    </xf>
    <xf numFmtId="3" fontId="60" fillId="0" borderId="21" xfId="0" applyNumberFormat="1" applyFont="1" applyFill="1" applyBorder="1" applyAlignment="1">
      <alignment horizontal="center"/>
    </xf>
    <xf numFmtId="3" fontId="59" fillId="0" borderId="30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3" fontId="4" fillId="0" borderId="21" xfId="0" applyNumberFormat="1" applyFont="1" applyBorder="1" applyAlignment="1">
      <alignment vertical="center" wrapText="1"/>
    </xf>
    <xf numFmtId="0" fontId="123" fillId="0" borderId="0" xfId="79" applyFont="1" applyFill="1"/>
    <xf numFmtId="0" fontId="124" fillId="0" borderId="21" xfId="79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readingOrder="2"/>
    </xf>
    <xf numFmtId="3" fontId="75" fillId="40" borderId="21" xfId="73" applyNumberFormat="1" applyFont="1" applyFill="1" applyBorder="1" applyAlignment="1">
      <alignment horizontal="right" vertical="top" wrapText="1"/>
    </xf>
    <xf numFmtId="3" fontId="75" fillId="0" borderId="21" xfId="73" applyNumberFormat="1" applyFont="1" applyFill="1" applyBorder="1" applyAlignment="1">
      <alignment horizontal="right" vertical="top" wrapText="1"/>
    </xf>
    <xf numFmtId="3" fontId="75" fillId="34" borderId="21" xfId="73" applyNumberFormat="1" applyFont="1" applyFill="1" applyBorder="1" applyAlignment="1">
      <alignment horizontal="right" vertical="top" wrapText="1"/>
    </xf>
    <xf numFmtId="49" fontId="105" fillId="34" borderId="21" xfId="73" applyNumberFormat="1" applyFont="1" applyFill="1" applyBorder="1" applyAlignment="1">
      <alignment horizontal="center" vertical="top" wrapText="1"/>
    </xf>
    <xf numFmtId="0" fontId="92" fillId="0" borderId="0" xfId="76" applyFont="1" applyFill="1" applyAlignment="1">
      <alignment horizontal="center" vertical="center" wrapText="1"/>
    </xf>
    <xf numFmtId="0" fontId="59" fillId="0" borderId="21" xfId="79" applyFont="1" applyFill="1" applyBorder="1" applyAlignment="1">
      <alignment wrapText="1"/>
    </xf>
    <xf numFmtId="3" fontId="59" fillId="0" borderId="21" xfId="79" applyNumberFormat="1" applyFont="1" applyFill="1" applyBorder="1" applyAlignment="1">
      <alignment horizontal="center"/>
    </xf>
    <xf numFmtId="0" fontId="114" fillId="0" borderId="21" xfId="79" applyFont="1" applyFill="1" applyBorder="1" applyAlignment="1">
      <alignment wrapText="1"/>
    </xf>
    <xf numFmtId="0" fontId="60" fillId="0" borderId="21" xfId="79" applyFont="1" applyFill="1" applyBorder="1" applyAlignment="1">
      <alignment wrapText="1"/>
    </xf>
    <xf numFmtId="3" fontId="60" fillId="0" borderId="21" xfId="79" applyNumberFormat="1" applyFont="1" applyFill="1" applyBorder="1" applyAlignment="1">
      <alignment horizontal="center"/>
    </xf>
    <xf numFmtId="0" fontId="59" fillId="0" borderId="29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49" fontId="59" fillId="0" borderId="21" xfId="81" applyNumberFormat="1" applyFont="1" applyBorder="1" applyAlignment="1">
      <alignment horizontal="center"/>
    </xf>
    <xf numFmtId="0" fontId="59" fillId="0" borderId="0" xfId="76" applyFont="1" applyFill="1" applyAlignment="1">
      <alignment horizontal="right" vertical="top"/>
    </xf>
    <xf numFmtId="0" fontId="125" fillId="0" borderId="0" xfId="76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73" fillId="0" borderId="0" xfId="77" applyFont="1" applyBorder="1"/>
    <xf numFmtId="0" fontId="75" fillId="0" borderId="0" xfId="77" applyFont="1"/>
    <xf numFmtId="0" fontId="73" fillId="0" borderId="0" xfId="77" applyFont="1"/>
    <xf numFmtId="0" fontId="60" fillId="0" borderId="0" xfId="76" applyFont="1" applyFill="1" applyAlignment="1">
      <alignment horizontal="center" vertical="center" wrapText="1"/>
    </xf>
    <xf numFmtId="0" fontId="59" fillId="0" borderId="0" xfId="76" applyFont="1" applyFill="1" applyBorder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73" applyFont="1" applyFill="1" applyAlignment="1">
      <alignment vertical="top"/>
    </xf>
    <xf numFmtId="166" fontId="8" fillId="43" borderId="21" xfId="0" applyNumberFormat="1" applyFont="1" applyFill="1" applyBorder="1" applyAlignment="1">
      <alignment horizontal="center"/>
    </xf>
    <xf numFmtId="0" fontId="8" fillId="43" borderId="21" xfId="0" applyFont="1" applyFill="1" applyBorder="1" applyAlignment="1">
      <alignment horizontal="right"/>
    </xf>
    <xf numFmtId="3" fontId="8" fillId="43" borderId="21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1" xfId="81" applyFont="1" applyBorder="1" applyAlignment="1">
      <alignment horizontal="center" vertical="top" wrapText="1" readingOrder="2"/>
    </xf>
    <xf numFmtId="4" fontId="73" fillId="0" borderId="23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4" fillId="0" borderId="21" xfId="77" applyFont="1" applyBorder="1" applyAlignment="1">
      <alignment horizontal="center" vertical="center"/>
    </xf>
    <xf numFmtId="0" fontId="83" fillId="0" borderId="21" xfId="77" applyFont="1" applyBorder="1" applyAlignment="1">
      <alignment horizontal="center" vertical="center"/>
    </xf>
    <xf numFmtId="0" fontId="83" fillId="0" borderId="21" xfId="77" applyFont="1" applyBorder="1" applyAlignment="1">
      <alignment vertical="center"/>
    </xf>
    <xf numFmtId="0" fontId="84" fillId="0" borderId="21" xfId="77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7" fillId="0" borderId="0" xfId="77" applyFont="1" applyBorder="1" applyAlignment="1">
      <alignment horizontal="center"/>
    </xf>
    <xf numFmtId="0" fontId="10" fillId="0" borderId="0" xfId="81" applyFont="1" applyBorder="1" applyAlignment="1">
      <alignment horizontal="center"/>
    </xf>
    <xf numFmtId="0" fontId="50" fillId="0" borderId="0" xfId="0" applyFont="1" applyAlignment="1">
      <alignment horizontal="right" readingOrder="2"/>
    </xf>
    <xf numFmtId="0" fontId="46" fillId="0" borderId="0" xfId="0" applyFont="1" applyAlignment="1">
      <alignment horizontal="justify" wrapText="1" readingOrder="2"/>
    </xf>
    <xf numFmtId="0" fontId="46" fillId="0" borderId="0" xfId="0" applyFont="1" applyAlignment="1">
      <alignment horizontal="right" readingOrder="2"/>
    </xf>
    <xf numFmtId="0" fontId="46" fillId="0" borderId="21" xfId="0" applyFont="1" applyBorder="1" applyAlignment="1">
      <alignment horizontal="center" readingOrder="2"/>
    </xf>
    <xf numFmtId="0" fontId="55" fillId="0" borderId="0" xfId="0" applyFont="1" applyAlignment="1">
      <alignment horizontal="center" readingOrder="2"/>
    </xf>
    <xf numFmtId="0" fontId="46" fillId="0" borderId="0" xfId="0" applyFont="1" applyAlignment="1">
      <alignment horizontal="center" readingOrder="2"/>
    </xf>
    <xf numFmtId="0" fontId="51" fillId="0" borderId="0" xfId="0" applyFont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50" fillId="0" borderId="0" xfId="0" applyFont="1" applyAlignment="1">
      <alignment horizontal="center"/>
    </xf>
    <xf numFmtId="49" fontId="105" fillId="34" borderId="22" xfId="73" applyNumberFormat="1" applyFont="1" applyFill="1" applyBorder="1" applyAlignment="1">
      <alignment vertical="top" wrapText="1"/>
    </xf>
    <xf numFmtId="49" fontId="105" fillId="34" borderId="23" xfId="73" applyNumberFormat="1" applyFont="1" applyFill="1" applyBorder="1" applyAlignment="1">
      <alignment vertical="top" wrapText="1"/>
    </xf>
    <xf numFmtId="49" fontId="105" fillId="34" borderId="24" xfId="73" applyNumberFormat="1" applyFont="1" applyFill="1" applyBorder="1" applyAlignment="1">
      <alignment vertical="top" wrapText="1"/>
    </xf>
    <xf numFmtId="0" fontId="8" fillId="0" borderId="21" xfId="73" applyFont="1" applyFill="1" applyBorder="1" applyAlignment="1">
      <alignment horizontal="center" vertical="top"/>
    </xf>
    <xf numFmtId="3" fontId="8" fillId="0" borderId="21" xfId="73" applyNumberFormat="1" applyFont="1" applyFill="1" applyBorder="1" applyAlignment="1">
      <alignment horizontal="right" vertical="top"/>
    </xf>
    <xf numFmtId="0" fontId="8" fillId="0" borderId="0" xfId="73" applyFont="1" applyFill="1" applyAlignment="1">
      <alignment vertical="top"/>
    </xf>
    <xf numFmtId="0" fontId="8" fillId="42" borderId="0" xfId="0" applyFont="1" applyFill="1"/>
    <xf numFmtId="0" fontId="7" fillId="40" borderId="21" xfId="73" applyFont="1" applyFill="1" applyBorder="1" applyAlignment="1">
      <alignment vertical="top"/>
    </xf>
    <xf numFmtId="0" fontId="8" fillId="0" borderId="0" xfId="73" applyFont="1" applyFill="1" applyAlignment="1">
      <alignment horizontal="center" vertical="top"/>
    </xf>
    <xf numFmtId="0" fontId="8" fillId="0" borderId="0" xfId="73" applyFont="1" applyFill="1" applyAlignment="1">
      <alignment horizontal="right" vertical="top"/>
    </xf>
    <xf numFmtId="4" fontId="7" fillId="40" borderId="30" xfId="0" applyNumberFormat="1" applyFont="1" applyFill="1" applyBorder="1" applyAlignment="1">
      <alignment horizontal="center" vertical="top"/>
    </xf>
    <xf numFmtId="4" fontId="75" fillId="40" borderId="23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/>
    </xf>
    <xf numFmtId="0" fontId="126" fillId="0" borderId="0" xfId="0" applyFont="1"/>
    <xf numFmtId="0" fontId="125" fillId="0" borderId="0" xfId="0" applyFont="1"/>
    <xf numFmtId="0" fontId="127" fillId="0" borderId="0" xfId="0" applyFont="1"/>
    <xf numFmtId="1" fontId="125" fillId="0" borderId="0" xfId="0" applyNumberFormat="1" applyFont="1"/>
    <xf numFmtId="1" fontId="127" fillId="0" borderId="0" xfId="0" applyNumberFormat="1" applyFont="1"/>
    <xf numFmtId="166" fontId="11" fillId="34" borderId="21" xfId="78" applyNumberFormat="1" applyFont="1" applyFill="1" applyBorder="1" applyAlignment="1">
      <alignment horizontal="center"/>
    </xf>
    <xf numFmtId="0" fontId="11" fillId="34" borderId="21" xfId="78" applyFont="1" applyFill="1" applyBorder="1" applyAlignment="1">
      <alignment horizontal="center"/>
    </xf>
    <xf numFmtId="49" fontId="11" fillId="34" borderId="21" xfId="78" applyNumberFormat="1" applyFont="1" applyFill="1" applyBorder="1" applyAlignment="1">
      <alignment horizontal="center"/>
    </xf>
    <xf numFmtId="166" fontId="11" fillId="34" borderId="21" xfId="0" applyNumberFormat="1" applyFont="1" applyFill="1" applyBorder="1" applyAlignment="1">
      <alignment horizontal="center"/>
    </xf>
    <xf numFmtId="0" fontId="11" fillId="34" borderId="21" xfId="0" applyFont="1" applyFill="1" applyBorder="1" applyAlignment="1">
      <alignment horizontal="center"/>
    </xf>
    <xf numFmtId="166" fontId="128" fillId="34" borderId="21" xfId="0" applyNumberFormat="1" applyFont="1" applyFill="1" applyBorder="1" applyAlignment="1">
      <alignment horizontal="center"/>
    </xf>
    <xf numFmtId="0" fontId="128" fillId="34" borderId="21" xfId="0" applyFont="1" applyFill="1" applyBorder="1" applyAlignment="1">
      <alignment horizontal="right"/>
    </xf>
    <xf numFmtId="0" fontId="129" fillId="0" borderId="25" xfId="0" applyFont="1" applyBorder="1"/>
    <xf numFmtId="0" fontId="130" fillId="0" borderId="0" xfId="0" applyFont="1"/>
    <xf numFmtId="1" fontId="0" fillId="0" borderId="0" xfId="0" applyNumberFormat="1"/>
    <xf numFmtId="1" fontId="130" fillId="0" borderId="0" xfId="0" applyNumberFormat="1" applyFont="1"/>
    <xf numFmtId="3" fontId="62" fillId="0" borderId="21" xfId="0" applyNumberFormat="1" applyFont="1" applyFill="1" applyBorder="1" applyAlignment="1">
      <alignment horizontal="center"/>
    </xf>
    <xf numFmtId="3" fontId="62" fillId="35" borderId="21" xfId="0" applyNumberFormat="1" applyFont="1" applyFill="1" applyBorder="1" applyAlignment="1">
      <alignment horizontal="center"/>
    </xf>
    <xf numFmtId="3" fontId="123" fillId="0" borderId="0" xfId="79" applyNumberFormat="1" applyFont="1" applyFill="1"/>
    <xf numFmtId="0" fontId="7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62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98" fillId="0" borderId="0" xfId="0" applyFont="1" applyFill="1" applyBorder="1"/>
    <xf numFmtId="0" fontId="60" fillId="0" borderId="21" xfId="78" applyFont="1" applyFill="1" applyBorder="1" applyAlignment="1">
      <alignment horizontal="center" vertical="center" wrapText="1"/>
    </xf>
    <xf numFmtId="49" fontId="60" fillId="0" borderId="21" xfId="78" applyNumberFormat="1" applyFont="1" applyFill="1" applyBorder="1" applyAlignment="1">
      <alignment horizontal="center" vertical="center" wrapText="1"/>
    </xf>
    <xf numFmtId="166" fontId="60" fillId="0" borderId="21" xfId="0" applyNumberFormat="1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 wrapText="1"/>
    </xf>
    <xf numFmtId="0" fontId="117" fillId="0" borderId="21" xfId="0" applyFont="1" applyFill="1" applyBorder="1" applyAlignment="1">
      <alignment horizontal="center"/>
    </xf>
    <xf numFmtId="0" fontId="117" fillId="0" borderId="21" xfId="0" applyFont="1" applyFill="1" applyBorder="1" applyAlignment="1"/>
    <xf numFmtId="3" fontId="117" fillId="0" borderId="21" xfId="0" applyNumberFormat="1" applyFont="1" applyFill="1" applyBorder="1" applyAlignment="1">
      <alignment horizontal="center"/>
    </xf>
    <xf numFmtId="166" fontId="60" fillId="0" borderId="21" xfId="0" applyNumberFormat="1" applyFont="1" applyFill="1" applyBorder="1" applyAlignment="1">
      <alignment horizontal="center"/>
    </xf>
    <xf numFmtId="0" fontId="117" fillId="0" borderId="21" xfId="0" applyFont="1" applyFill="1" applyBorder="1" applyAlignment="1">
      <alignment horizontal="center" vertical="center"/>
    </xf>
    <xf numFmtId="0" fontId="117" fillId="0" borderId="21" xfId="0" applyFont="1" applyFill="1" applyBorder="1" applyAlignment="1">
      <alignment vertical="center"/>
    </xf>
    <xf numFmtId="3" fontId="117" fillId="0" borderId="21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center"/>
    </xf>
    <xf numFmtId="0" fontId="122" fillId="0" borderId="21" xfId="0" applyFont="1" applyFill="1" applyBorder="1" applyAlignment="1">
      <alignment horizontal="center"/>
    </xf>
    <xf numFmtId="0" fontId="122" fillId="0" borderId="21" xfId="0" applyFont="1" applyFill="1" applyBorder="1" applyAlignment="1"/>
    <xf numFmtId="3" fontId="122" fillId="0" borderId="2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7" fontId="116" fillId="0" borderId="21" xfId="80" applyNumberFormat="1" applyFont="1" applyFill="1" applyBorder="1" applyAlignment="1">
      <alignment horizontal="center"/>
    </xf>
    <xf numFmtId="0" fontId="116" fillId="0" borderId="21" xfId="80" applyFont="1" applyFill="1" applyBorder="1" applyAlignment="1"/>
    <xf numFmtId="3" fontId="60" fillId="0" borderId="21" xfId="80" applyNumberFormat="1" applyFont="1" applyFill="1" applyBorder="1" applyAlignment="1">
      <alignment horizontal="center"/>
    </xf>
    <xf numFmtId="0" fontId="121" fillId="0" borderId="21" xfId="0" applyFont="1" applyFill="1" applyBorder="1" applyAlignment="1">
      <alignment horizontal="center"/>
    </xf>
    <xf numFmtId="0" fontId="108" fillId="0" borderId="21" xfId="0" applyFont="1" applyFill="1" applyBorder="1" applyAlignment="1">
      <alignment horizontal="center" vertical="center"/>
    </xf>
    <xf numFmtId="0" fontId="108" fillId="0" borderId="21" xfId="80" applyFont="1" applyFill="1" applyBorder="1" applyAlignment="1">
      <alignment vertical="center"/>
    </xf>
    <xf numFmtId="167" fontId="61" fillId="0" borderId="21" xfId="80" applyNumberFormat="1" applyFont="1" applyFill="1" applyBorder="1" applyAlignment="1">
      <alignment horizontal="center"/>
    </xf>
    <xf numFmtId="0" fontId="61" fillId="0" borderId="21" xfId="80" applyFont="1" applyFill="1" applyBorder="1" applyAlignment="1"/>
    <xf numFmtId="167" fontId="108" fillId="0" borderId="21" xfId="80" applyNumberFormat="1" applyFont="1" applyFill="1" applyBorder="1" applyAlignment="1">
      <alignment horizontal="center" vertical="center"/>
    </xf>
    <xf numFmtId="167" fontId="108" fillId="0" borderId="21" xfId="80" applyNumberFormat="1" applyFont="1" applyFill="1" applyBorder="1" applyAlignment="1">
      <alignment horizontal="center"/>
    </xf>
    <xf numFmtId="0" fontId="108" fillId="0" borderId="21" xfId="80" applyFont="1" applyFill="1" applyBorder="1" applyAlignment="1"/>
    <xf numFmtId="167" fontId="117" fillId="0" borderId="21" xfId="80" applyNumberFormat="1" applyFont="1" applyFill="1" applyBorder="1" applyAlignment="1">
      <alignment horizontal="center" vertical="center"/>
    </xf>
    <xf numFmtId="0" fontId="117" fillId="0" borderId="21" xfId="80" applyFont="1" applyFill="1" applyBorder="1" applyAlignment="1">
      <alignment vertical="center"/>
    </xf>
    <xf numFmtId="0" fontId="108" fillId="0" borderId="21" xfId="0" applyFont="1" applyFill="1" applyBorder="1" applyAlignment="1">
      <alignment vertical="center"/>
    </xf>
    <xf numFmtId="3" fontId="108" fillId="0" borderId="21" xfId="0" applyNumberFormat="1" applyFont="1" applyFill="1" applyBorder="1" applyAlignment="1">
      <alignment horizontal="center" vertical="center"/>
    </xf>
    <xf numFmtId="0" fontId="116" fillId="0" borderId="21" xfId="0" applyFont="1" applyFill="1" applyBorder="1" applyAlignment="1">
      <alignment horizontal="center"/>
    </xf>
    <xf numFmtId="0" fontId="116" fillId="0" borderId="21" xfId="0" applyFont="1" applyFill="1" applyBorder="1" applyAlignment="1"/>
    <xf numFmtId="166" fontId="7" fillId="0" borderId="21" xfId="78" applyNumberFormat="1" applyFont="1" applyFill="1" applyBorder="1" applyAlignment="1">
      <alignment horizontal="center"/>
    </xf>
    <xf numFmtId="0" fontId="7" fillId="0" borderId="21" xfId="78" applyFont="1" applyFill="1" applyBorder="1" applyAlignment="1">
      <alignment horizontal="center"/>
    </xf>
    <xf numFmtId="49" fontId="7" fillId="0" borderId="21" xfId="78" applyNumberFormat="1" applyFont="1" applyFill="1" applyBorder="1" applyAlignment="1">
      <alignment horizontal="center"/>
    </xf>
    <xf numFmtId="166" fontId="7" fillId="0" borderId="21" xfId="0" applyNumberFormat="1" applyFont="1" applyFill="1" applyBorder="1" applyAlignment="1">
      <alignment horizontal="center"/>
    </xf>
    <xf numFmtId="0" fontId="81" fillId="0" borderId="21" xfId="0" applyFont="1" applyFill="1" applyBorder="1" applyAlignment="1">
      <alignment horizontal="right"/>
    </xf>
    <xf numFmtId="0" fontId="79" fillId="0" borderId="28" xfId="0" applyFont="1" applyFill="1" applyBorder="1" applyAlignment="1">
      <alignment horizontal="right"/>
    </xf>
    <xf numFmtId="3" fontId="79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center"/>
    </xf>
    <xf numFmtId="0" fontId="79" fillId="0" borderId="30" xfId="0" applyFont="1" applyFill="1" applyBorder="1" applyAlignment="1">
      <alignment horizontal="right"/>
    </xf>
    <xf numFmtId="166" fontId="78" fillId="0" borderId="21" xfId="0" applyNumberFormat="1" applyFont="1" applyFill="1" applyBorder="1" applyAlignment="1">
      <alignment horizontal="center"/>
    </xf>
    <xf numFmtId="3" fontId="81" fillId="0" borderId="21" xfId="0" applyNumberFormat="1" applyFont="1" applyFill="1" applyBorder="1" applyAlignment="1">
      <alignment horizontal="center"/>
    </xf>
    <xf numFmtId="0" fontId="88" fillId="0" borderId="21" xfId="0" applyFont="1" applyFill="1" applyBorder="1" applyAlignment="1">
      <alignment horizontal="right"/>
    </xf>
    <xf numFmtId="166" fontId="8" fillId="0" borderId="28" xfId="0" applyNumberFormat="1" applyFont="1" applyFill="1" applyBorder="1" applyAlignment="1">
      <alignment horizontal="center"/>
    </xf>
    <xf numFmtId="166" fontId="8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right"/>
    </xf>
    <xf numFmtId="166" fontId="98" fillId="0" borderId="21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right"/>
    </xf>
    <xf numFmtId="166" fontId="101" fillId="0" borderId="21" xfId="0" applyNumberFormat="1" applyFont="1" applyFill="1" applyBorder="1" applyAlignment="1">
      <alignment horizontal="center"/>
    </xf>
    <xf numFmtId="0" fontId="102" fillId="0" borderId="21" xfId="0" applyFont="1" applyFill="1" applyBorder="1" applyAlignment="1">
      <alignment horizontal="right"/>
    </xf>
    <xf numFmtId="3" fontId="102" fillId="0" borderId="21" xfId="0" applyNumberFormat="1" applyFont="1" applyFill="1" applyBorder="1" applyAlignment="1">
      <alignment horizontal="center"/>
    </xf>
    <xf numFmtId="166" fontId="12" fillId="0" borderId="21" xfId="0" applyNumberFormat="1" applyFont="1" applyFill="1" applyBorder="1" applyAlignment="1">
      <alignment horizontal="center"/>
    </xf>
    <xf numFmtId="166" fontId="10" fillId="0" borderId="21" xfId="0" applyNumberFormat="1" applyFont="1" applyFill="1" applyBorder="1" applyAlignment="1">
      <alignment horizontal="center"/>
    </xf>
    <xf numFmtId="0" fontId="103" fillId="0" borderId="21" xfId="0" applyFont="1" applyFill="1" applyBorder="1" applyAlignment="1">
      <alignment horizontal="right"/>
    </xf>
    <xf numFmtId="3" fontId="103" fillId="0" borderId="21" xfId="0" applyNumberFormat="1" applyFont="1" applyFill="1" applyBorder="1" applyAlignment="1">
      <alignment horizontal="center"/>
    </xf>
    <xf numFmtId="0" fontId="83" fillId="0" borderId="21" xfId="77" applyFont="1" applyBorder="1" applyAlignment="1">
      <alignment vertical="center"/>
    </xf>
    <xf numFmtId="1" fontId="59" fillId="0" borderId="21" xfId="0" applyNumberFormat="1" applyFont="1" applyBorder="1" applyAlignment="1">
      <alignment horizontal="center"/>
    </xf>
    <xf numFmtId="0" fontId="3" fillId="31" borderId="0" xfId="0" applyFont="1" applyFill="1"/>
    <xf numFmtId="0" fontId="11" fillId="0" borderId="21" xfId="79" applyFont="1" applyFill="1" applyBorder="1" applyAlignment="1">
      <alignment vertical="center" wrapText="1"/>
    </xf>
    <xf numFmtId="165" fontId="123" fillId="0" borderId="0" xfId="79" applyNumberFormat="1" applyFont="1" applyFill="1"/>
    <xf numFmtId="0" fontId="131" fillId="0" borderId="0" xfId="0" applyFont="1"/>
    <xf numFmtId="3" fontId="131" fillId="0" borderId="0" xfId="0" applyNumberFormat="1" applyFont="1"/>
    <xf numFmtId="3" fontId="131" fillId="0" borderId="0" xfId="0" applyNumberFormat="1" applyFont="1" applyFill="1"/>
    <xf numFmtId="0" fontId="131" fillId="0" borderId="0" xfId="0" applyFont="1" applyFill="1"/>
    <xf numFmtId="3" fontId="109" fillId="0" borderId="21" xfId="0" applyNumberFormat="1" applyFont="1" applyFill="1" applyBorder="1" applyAlignment="1">
      <alignment horizontal="center"/>
    </xf>
    <xf numFmtId="49" fontId="7" fillId="37" borderId="21" xfId="78" applyNumberFormat="1" applyFont="1" applyFill="1" applyBorder="1" applyAlignment="1">
      <alignment horizontal="center"/>
    </xf>
    <xf numFmtId="49" fontId="7" fillId="34" borderId="21" xfId="78" applyNumberFormat="1" applyFont="1" applyFill="1" applyBorder="1" applyAlignment="1">
      <alignment horizontal="center" vertical="center"/>
    </xf>
    <xf numFmtId="3" fontId="123" fillId="34" borderId="0" xfId="0" applyNumberFormat="1" applyFont="1" applyFill="1" applyBorder="1" applyAlignment="1">
      <alignment horizontal="center"/>
    </xf>
    <xf numFmtId="0" fontId="123" fillId="0" borderId="0" xfId="0" applyFont="1" applyFill="1" applyAlignment="1">
      <alignment horizontal="center"/>
    </xf>
    <xf numFmtId="0" fontId="123" fillId="34" borderId="0" xfId="0" applyFont="1" applyFill="1" applyBorder="1" applyAlignment="1">
      <alignment horizontal="right"/>
    </xf>
    <xf numFmtId="0" fontId="123" fillId="34" borderId="0" xfId="0" applyFont="1" applyFill="1" applyBorder="1" applyAlignment="1">
      <alignment horizontal="center"/>
    </xf>
    <xf numFmtId="3" fontId="123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0" fontId="7" fillId="0" borderId="21" xfId="0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1" xfId="0" applyFont="1" applyFill="1" applyBorder="1" applyAlignment="1">
      <alignment vertical="top"/>
    </xf>
    <xf numFmtId="0" fontId="60" fillId="0" borderId="21" xfId="76" applyFont="1" applyFill="1" applyBorder="1" applyAlignment="1">
      <alignment horizontal="center" vertical="center" wrapText="1"/>
    </xf>
    <xf numFmtId="0" fontId="94" fillId="0" borderId="21" xfId="76" applyFont="1" applyFill="1" applyBorder="1" applyAlignment="1">
      <alignment horizontal="center" vertical="top"/>
    </xf>
    <xf numFmtId="0" fontId="94" fillId="0" borderId="21" xfId="76" applyFont="1" applyFill="1" applyBorder="1" applyAlignment="1">
      <alignment vertical="top"/>
    </xf>
    <xf numFmtId="0" fontId="92" fillId="0" borderId="21" xfId="76" applyFont="1" applyFill="1" applyBorder="1" applyAlignment="1">
      <alignment vertical="top"/>
    </xf>
    <xf numFmtId="0" fontId="72" fillId="0" borderId="21" xfId="76" applyFont="1" applyFill="1" applyBorder="1" applyAlignment="1">
      <alignment horizontal="center" vertical="top"/>
    </xf>
    <xf numFmtId="0" fontId="7" fillId="0" borderId="21" xfId="73" applyFont="1" applyFill="1" applyBorder="1" applyAlignment="1">
      <alignment horizontal="center" vertical="center"/>
    </xf>
    <xf numFmtId="0" fontId="7" fillId="34" borderId="21" xfId="73" applyFont="1" applyFill="1" applyBorder="1" applyAlignment="1">
      <alignment horizontal="center" vertical="center"/>
    </xf>
    <xf numFmtId="0" fontId="7" fillId="0" borderId="21" xfId="73" applyFont="1" applyFill="1" applyBorder="1" applyAlignment="1">
      <alignment horizontal="right" vertical="center"/>
    </xf>
    <xf numFmtId="0" fontId="7" fillId="0" borderId="0" xfId="73" applyFont="1" applyFill="1" applyAlignment="1">
      <alignment horizontal="center" vertical="center"/>
    </xf>
    <xf numFmtId="0" fontId="8" fillId="0" borderId="21" xfId="73" applyFont="1" applyFill="1" applyBorder="1" applyAlignment="1">
      <alignment vertical="top"/>
    </xf>
    <xf numFmtId="0" fontId="7" fillId="0" borderId="21" xfId="73" applyFont="1" applyFill="1" applyBorder="1" applyAlignment="1">
      <alignment vertical="top"/>
    </xf>
    <xf numFmtId="0" fontId="8" fillId="42" borderId="0" xfId="0" applyFont="1" applyFill="1" applyAlignment="1">
      <alignment vertical="top"/>
    </xf>
    <xf numFmtId="0" fontId="7" fillId="0" borderId="21" xfId="0" applyFont="1" applyFill="1" applyBorder="1" applyAlignment="1">
      <alignment horizontal="center" vertical="top"/>
    </xf>
    <xf numFmtId="0" fontId="8" fillId="35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3" fontId="8" fillId="0" borderId="0" xfId="0" applyNumberFormat="1" applyFont="1" applyFill="1" applyAlignment="1">
      <alignment vertical="top"/>
    </xf>
    <xf numFmtId="0" fontId="8" fillId="35" borderId="0" xfId="0" applyFont="1" applyFill="1"/>
    <xf numFmtId="49" fontId="8" fillId="0" borderId="0" xfId="0" applyNumberFormat="1" applyFont="1"/>
    <xf numFmtId="2" fontId="8" fillId="0" borderId="0" xfId="0" applyNumberFormat="1" applyFont="1"/>
    <xf numFmtId="0" fontId="7" fillId="0" borderId="0" xfId="0" applyFont="1" applyFill="1" applyAlignment="1">
      <alignment vertical="top"/>
    </xf>
    <xf numFmtId="0" fontId="7" fillId="0" borderId="21" xfId="0" applyFont="1" applyFill="1" applyBorder="1" applyAlignment="1">
      <alignment vertical="top"/>
    </xf>
    <xf numFmtId="0" fontId="8" fillId="0" borderId="0" xfId="0" applyFont="1" applyFill="1" applyAlignment="1">
      <alignment horizontal="right" vertical="top"/>
    </xf>
    <xf numFmtId="0" fontId="10" fillId="0" borderId="22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170" fontId="73" fillId="0" borderId="21" xfId="73" applyNumberFormat="1" applyFont="1" applyFill="1" applyBorder="1" applyAlignment="1">
      <alignment horizontal="center" vertical="top" wrapText="1"/>
    </xf>
    <xf numFmtId="0" fontId="8" fillId="35" borderId="21" xfId="0" applyFont="1" applyFill="1" applyBorder="1" applyAlignment="1">
      <alignment vertical="top"/>
    </xf>
    <xf numFmtId="0" fontId="8" fillId="0" borderId="21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right" vertical="top"/>
    </xf>
    <xf numFmtId="3" fontId="8" fillId="35" borderId="0" xfId="0" applyNumberFormat="1" applyFont="1" applyFill="1" applyAlignment="1">
      <alignment vertical="top"/>
    </xf>
    <xf numFmtId="0" fontId="8" fillId="35" borderId="21" xfId="0" applyFont="1" applyFill="1" applyBorder="1"/>
    <xf numFmtId="3" fontId="0" fillId="0" borderId="0" xfId="0" applyNumberFormat="1"/>
    <xf numFmtId="4" fontId="0" fillId="0" borderId="0" xfId="0" applyNumberFormat="1"/>
    <xf numFmtId="171" fontId="75" fillId="40" borderId="21" xfId="0" applyNumberFormat="1" applyFont="1" applyFill="1" applyBorder="1" applyAlignment="1">
      <alignment horizontal="center" vertical="top" wrapText="1"/>
    </xf>
    <xf numFmtId="4" fontId="75" fillId="40" borderId="21" xfId="0" applyNumberFormat="1" applyFont="1" applyFill="1" applyBorder="1" applyAlignment="1">
      <alignment horizontal="center" vertical="top" wrapText="1"/>
    </xf>
    <xf numFmtId="4" fontId="75" fillId="40" borderId="60" xfId="0" applyNumberFormat="1" applyFont="1" applyFill="1" applyBorder="1" applyAlignment="1">
      <alignment horizontal="center" vertical="top" wrapText="1"/>
    </xf>
    <xf numFmtId="171" fontId="84" fillId="0" borderId="21" xfId="77" applyNumberFormat="1" applyFont="1" applyBorder="1" applyAlignment="1">
      <alignment horizontal="center" vertical="center"/>
    </xf>
    <xf numFmtId="172" fontId="84" fillId="0" borderId="21" xfId="77" applyNumberFormat="1" applyFont="1" applyBorder="1" applyAlignment="1">
      <alignment horizontal="center"/>
    </xf>
    <xf numFmtId="171" fontId="83" fillId="0" borderId="21" xfId="77" applyNumberFormat="1" applyFont="1" applyFill="1" applyBorder="1" applyAlignment="1">
      <alignment horizontal="center" vertical="center"/>
    </xf>
    <xf numFmtId="4" fontId="105" fillId="34" borderId="21" xfId="73" applyNumberFormat="1" applyFont="1" applyFill="1" applyBorder="1" applyAlignment="1">
      <alignment horizontal="center" vertical="top" wrapText="1"/>
    </xf>
    <xf numFmtId="4" fontId="84" fillId="0" borderId="21" xfId="77" applyNumberFormat="1" applyFont="1" applyFill="1" applyBorder="1" applyAlignment="1">
      <alignment horizontal="center" vertical="center"/>
    </xf>
    <xf numFmtId="4" fontId="83" fillId="0" borderId="21" xfId="77" applyNumberFormat="1" applyFont="1" applyFill="1" applyBorder="1" applyAlignment="1">
      <alignment horizontal="center" vertical="center"/>
    </xf>
    <xf numFmtId="4" fontId="84" fillId="0" borderId="21" xfId="77" applyNumberFormat="1" applyFont="1" applyBorder="1" applyAlignment="1">
      <alignment horizontal="center" vertical="center"/>
    </xf>
    <xf numFmtId="4" fontId="84" fillId="0" borderId="21" xfId="77" applyNumberFormat="1" applyFont="1" applyBorder="1" applyAlignment="1">
      <alignment horizontal="center"/>
    </xf>
    <xf numFmtId="0" fontId="132" fillId="0" borderId="0" xfId="0" applyFont="1"/>
    <xf numFmtId="0" fontId="133" fillId="0" borderId="0" xfId="0" applyNumberFormat="1" applyFont="1"/>
    <xf numFmtId="0" fontId="129" fillId="0" borderId="0" xfId="0" applyFont="1"/>
    <xf numFmtId="0" fontId="133" fillId="0" borderId="0" xfId="0" applyFont="1"/>
    <xf numFmtId="4" fontId="135" fillId="0" borderId="0" xfId="0" applyNumberFormat="1" applyFont="1"/>
    <xf numFmtId="164" fontId="60" fillId="34" borderId="21" xfId="46" applyNumberFormat="1" applyFont="1" applyFill="1" applyBorder="1" applyAlignment="1">
      <alignment horizontal="center" vertical="center" wrapText="1"/>
    </xf>
    <xf numFmtId="164" fontId="59" fillId="0" borderId="21" xfId="46" applyNumberFormat="1" applyFont="1" applyFill="1" applyBorder="1" applyAlignment="1">
      <alignment horizontal="center"/>
    </xf>
    <xf numFmtId="164" fontId="116" fillId="34" borderId="21" xfId="46" applyNumberFormat="1" applyFont="1" applyFill="1" applyBorder="1" applyAlignment="1">
      <alignment horizontal="center"/>
    </xf>
    <xf numFmtId="164" fontId="108" fillId="34" borderId="21" xfId="46" applyNumberFormat="1" applyFont="1" applyFill="1" applyBorder="1" applyAlignment="1">
      <alignment horizontal="center" vertical="center"/>
    </xf>
    <xf numFmtId="164" fontId="108" fillId="0" borderId="21" xfId="46" applyNumberFormat="1" applyFont="1" applyFill="1" applyBorder="1" applyAlignment="1">
      <alignment horizontal="center" vertical="center"/>
    </xf>
    <xf numFmtId="164" fontId="117" fillId="34" borderId="21" xfId="46" applyNumberFormat="1" applyFont="1" applyFill="1" applyBorder="1" applyAlignment="1">
      <alignment horizontal="center" vertical="center"/>
    </xf>
    <xf numFmtId="164" fontId="116" fillId="0" borderId="21" xfId="46" applyNumberFormat="1" applyFont="1" applyFill="1" applyBorder="1" applyAlignment="1">
      <alignment horizontal="center"/>
    </xf>
    <xf numFmtId="164" fontId="120" fillId="0" borderId="21" xfId="46" applyNumberFormat="1" applyFont="1" applyFill="1" applyBorder="1" applyAlignment="1">
      <alignment horizontal="center"/>
    </xf>
    <xf numFmtId="164" fontId="122" fillId="34" borderId="21" xfId="46" applyNumberFormat="1" applyFont="1" applyFill="1" applyBorder="1" applyAlignment="1">
      <alignment horizontal="center"/>
    </xf>
    <xf numFmtId="164" fontId="123" fillId="0" borderId="0" xfId="46" applyNumberFormat="1" applyFont="1" applyFill="1" applyAlignment="1">
      <alignment horizontal="center"/>
    </xf>
    <xf numFmtId="164" fontId="8" fillId="0" borderId="0" xfId="46" applyNumberFormat="1" applyFont="1" applyFill="1" applyAlignment="1">
      <alignment horizontal="center"/>
    </xf>
    <xf numFmtId="0" fontId="8" fillId="44" borderId="0" xfId="0" applyFont="1" applyFill="1" applyAlignment="1">
      <alignment horizontal="center"/>
    </xf>
    <xf numFmtId="3" fontId="109" fillId="34" borderId="21" xfId="0" applyNumberFormat="1" applyFont="1" applyFill="1" applyBorder="1" applyAlignment="1">
      <alignment horizontal="center"/>
    </xf>
    <xf numFmtId="164" fontId="59" fillId="34" borderId="21" xfId="46" applyNumberFormat="1" applyFont="1" applyFill="1" applyBorder="1" applyAlignment="1">
      <alignment horizontal="center"/>
    </xf>
    <xf numFmtId="3" fontId="59" fillId="34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164" fontId="60" fillId="34" borderId="0" xfId="46" applyNumberFormat="1" applyFont="1" applyFill="1" applyBorder="1" applyAlignment="1">
      <alignment horizontal="center" vertical="center" wrapText="1"/>
    </xf>
    <xf numFmtId="164" fontId="59" fillId="34" borderId="0" xfId="46" applyNumberFormat="1" applyFont="1" applyFill="1" applyBorder="1" applyAlignment="1">
      <alignment horizontal="center"/>
    </xf>
    <xf numFmtId="164" fontId="7" fillId="34" borderId="0" xfId="46" applyNumberFormat="1" applyFont="1" applyFill="1" applyBorder="1" applyAlignment="1">
      <alignment horizontal="center"/>
    </xf>
    <xf numFmtId="164" fontId="123" fillId="34" borderId="0" xfId="46" applyNumberFormat="1" applyFont="1" applyFill="1" applyAlignment="1">
      <alignment horizontal="center"/>
    </xf>
    <xf numFmtId="164" fontId="8" fillId="34" borderId="0" xfId="46" applyNumberFormat="1" applyFont="1" applyFill="1" applyAlignment="1">
      <alignment horizontal="center"/>
    </xf>
    <xf numFmtId="3" fontId="88" fillId="0" borderId="0" xfId="0" applyNumberFormat="1" applyFont="1" applyFill="1" applyAlignment="1">
      <alignment horizontal="center"/>
    </xf>
    <xf numFmtId="0" fontId="10" fillId="0" borderId="0" xfId="79" applyFont="1" applyBorder="1" applyAlignment="1">
      <alignment horizontal="center" wrapText="1"/>
    </xf>
    <xf numFmtId="3" fontId="60" fillId="0" borderId="0" xfId="79" applyNumberFormat="1" applyFont="1" applyFill="1" applyBorder="1" applyAlignment="1">
      <alignment horizontal="center" vertical="center" wrapText="1"/>
    </xf>
    <xf numFmtId="0" fontId="10" fillId="0" borderId="0" xfId="79" applyFont="1" applyFill="1" applyBorder="1" applyAlignment="1">
      <alignment horizontal="right" vertical="center" wrapText="1"/>
    </xf>
    <xf numFmtId="165" fontId="59" fillId="0" borderId="0" xfId="79" applyNumberFormat="1" applyFont="1" applyFill="1" applyBorder="1" applyAlignment="1">
      <alignment horizontal="center"/>
    </xf>
    <xf numFmtId="165" fontId="60" fillId="0" borderId="0" xfId="79" applyNumberFormat="1" applyFont="1" applyFill="1" applyBorder="1" applyAlignment="1">
      <alignment horizontal="center"/>
    </xf>
    <xf numFmtId="3" fontId="4" fillId="0" borderId="0" xfId="79" applyNumberFormat="1" applyFont="1" applyFill="1" applyBorder="1" applyAlignment="1">
      <alignment horizontal="center" vertical="center"/>
    </xf>
    <xf numFmtId="165" fontId="59" fillId="0" borderId="0" xfId="79" applyNumberFormat="1" applyFont="1" applyFill="1" applyBorder="1" applyAlignment="1">
      <alignment horizontal="center" vertical="center"/>
    </xf>
    <xf numFmtId="165" fontId="60" fillId="0" borderId="0" xfId="79" applyNumberFormat="1" applyFont="1" applyFill="1" applyBorder="1" applyAlignment="1">
      <alignment horizontal="center" vertical="center"/>
    </xf>
    <xf numFmtId="165" fontId="10" fillId="0" borderId="0" xfId="79" applyNumberFormat="1" applyFont="1" applyFill="1" applyBorder="1" applyAlignment="1">
      <alignment horizontal="center"/>
    </xf>
    <xf numFmtId="0" fontId="59" fillId="34" borderId="21" xfId="76" applyFont="1" applyFill="1" applyBorder="1" applyAlignment="1">
      <alignment horizontal="center" vertical="top"/>
    </xf>
    <xf numFmtId="49" fontId="59" fillId="34" borderId="21" xfId="76" applyNumberFormat="1" applyFont="1" applyFill="1" applyBorder="1" applyAlignment="1">
      <alignment horizontal="center" vertical="top" wrapText="1"/>
    </xf>
    <xf numFmtId="170" fontId="59" fillId="34" borderId="21" xfId="76" applyNumberFormat="1" applyFont="1" applyFill="1" applyBorder="1" applyAlignment="1">
      <alignment horizontal="center" vertical="top" wrapText="1"/>
    </xf>
    <xf numFmtId="4" fontId="59" fillId="34" borderId="21" xfId="76" applyNumberFormat="1" applyFont="1" applyFill="1" applyBorder="1" applyAlignment="1">
      <alignment horizontal="center" vertical="top" wrapText="1"/>
    </xf>
    <xf numFmtId="164" fontId="59" fillId="34" borderId="21" xfId="48" applyNumberFormat="1" applyFont="1" applyFill="1" applyBorder="1" applyAlignment="1">
      <alignment horizontal="center" vertical="top"/>
    </xf>
    <xf numFmtId="164" fontId="59" fillId="34" borderId="21" xfId="46" applyNumberFormat="1" applyFont="1" applyFill="1" applyBorder="1" applyAlignment="1">
      <alignment horizontal="center" vertical="top"/>
    </xf>
    <xf numFmtId="0" fontId="11" fillId="34" borderId="21" xfId="76" applyFont="1" applyFill="1" applyBorder="1" applyAlignment="1">
      <alignment horizontal="center" vertical="center" wrapText="1"/>
    </xf>
    <xf numFmtId="164" fontId="11" fillId="34" borderId="21" xfId="48" applyNumberFormat="1" applyFont="1" applyFill="1" applyBorder="1" applyAlignment="1">
      <alignment horizontal="center" vertical="center" wrapText="1"/>
    </xf>
    <xf numFmtId="164" fontId="11" fillId="34" borderId="21" xfId="46" applyNumberFormat="1" applyFont="1" applyFill="1" applyBorder="1" applyAlignment="1">
      <alignment horizontal="right" vertical="center" wrapText="1"/>
    </xf>
    <xf numFmtId="0" fontId="60" fillId="34" borderId="21" xfId="76" applyFont="1" applyFill="1" applyBorder="1" applyAlignment="1">
      <alignment vertical="top"/>
    </xf>
    <xf numFmtId="164" fontId="59" fillId="34" borderId="21" xfId="48" applyNumberFormat="1" applyFont="1" applyFill="1" applyBorder="1" applyAlignment="1">
      <alignment horizontal="center" vertical="top" wrapText="1"/>
    </xf>
    <xf numFmtId="4" fontId="60" fillId="34" borderId="21" xfId="76" applyNumberFormat="1" applyFont="1" applyFill="1" applyBorder="1" applyAlignment="1">
      <alignment horizontal="center" vertical="top" wrapText="1"/>
    </xf>
    <xf numFmtId="49" fontId="10" fillId="34" borderId="21" xfId="76" applyNumberFormat="1" applyFont="1" applyFill="1" applyBorder="1" applyAlignment="1">
      <alignment horizontal="center" vertical="top" wrapText="1"/>
    </xf>
    <xf numFmtId="164" fontId="10" fillId="34" borderId="21" xfId="48" applyNumberFormat="1" applyFont="1" applyFill="1" applyBorder="1" applyAlignment="1">
      <alignment horizontal="center" vertical="top" wrapText="1"/>
    </xf>
    <xf numFmtId="173" fontId="10" fillId="34" borderId="21" xfId="48" applyNumberFormat="1" applyFont="1" applyFill="1" applyBorder="1" applyAlignment="1">
      <alignment horizontal="center" vertical="top" wrapText="1"/>
    </xf>
    <xf numFmtId="164" fontId="60" fillId="34" borderId="21" xfId="46" applyNumberFormat="1" applyFont="1" applyFill="1" applyBorder="1" applyAlignment="1">
      <alignment horizontal="center" vertical="top" wrapText="1"/>
    </xf>
    <xf numFmtId="0" fontId="8" fillId="34" borderId="56" xfId="0" applyFont="1" applyFill="1" applyBorder="1" applyAlignment="1">
      <alignment horizontal="center" vertical="top"/>
    </xf>
    <xf numFmtId="49" fontId="73" fillId="34" borderId="21" xfId="0" applyNumberFormat="1" applyFont="1" applyFill="1" applyBorder="1" applyAlignment="1">
      <alignment horizontal="center" vertical="top" wrapText="1"/>
    </xf>
    <xf numFmtId="170" fontId="73" fillId="34" borderId="21" xfId="0" applyNumberFormat="1" applyFont="1" applyFill="1" applyBorder="1" applyAlignment="1">
      <alignment horizontal="center" vertical="top" wrapText="1"/>
    </xf>
    <xf numFmtId="4" fontId="73" fillId="34" borderId="21" xfId="0" applyNumberFormat="1" applyFont="1" applyFill="1" applyBorder="1" applyAlignment="1">
      <alignment horizontal="center" vertical="top" wrapText="1"/>
    </xf>
    <xf numFmtId="3" fontId="73" fillId="34" borderId="21" xfId="0" applyNumberFormat="1" applyFont="1" applyFill="1" applyBorder="1" applyAlignment="1">
      <alignment horizontal="center" vertical="top" wrapText="1"/>
    </xf>
    <xf numFmtId="170" fontId="73" fillId="34" borderId="28" xfId="0" applyNumberFormat="1" applyFont="1" applyFill="1" applyBorder="1" applyAlignment="1">
      <alignment horizontal="center" vertical="top" wrapText="1"/>
    </xf>
    <xf numFmtId="49" fontId="73" fillId="34" borderId="28" xfId="0" applyNumberFormat="1" applyFont="1" applyFill="1" applyBorder="1" applyAlignment="1">
      <alignment horizontal="center" vertical="top" wrapText="1"/>
    </xf>
    <xf numFmtId="3" fontId="8" fillId="34" borderId="21" xfId="0" applyNumberFormat="1" applyFont="1" applyFill="1" applyBorder="1" applyAlignment="1">
      <alignment horizontal="center" vertical="top"/>
    </xf>
    <xf numFmtId="0" fontId="8" fillId="34" borderId="69" xfId="0" applyFont="1" applyFill="1" applyBorder="1" applyAlignment="1">
      <alignment horizontal="center" vertical="top"/>
    </xf>
    <xf numFmtId="170" fontId="73" fillId="34" borderId="24" xfId="0" applyNumberFormat="1" applyFont="1" applyFill="1" applyBorder="1" applyAlignment="1">
      <alignment horizontal="center" vertical="top" wrapText="1"/>
    </xf>
    <xf numFmtId="170" fontId="73" fillId="34" borderId="25" xfId="0" applyNumberFormat="1" applyFont="1" applyFill="1" applyBorder="1" applyAlignment="1">
      <alignment horizontal="center" vertical="top" wrapText="1"/>
    </xf>
    <xf numFmtId="49" fontId="73" fillId="34" borderId="25" xfId="0" applyNumberFormat="1" applyFont="1" applyFill="1" applyBorder="1" applyAlignment="1">
      <alignment horizontal="center" vertical="top" wrapText="1"/>
    </xf>
    <xf numFmtId="4" fontId="73" fillId="34" borderId="30" xfId="0" applyNumberFormat="1" applyFont="1" applyFill="1" applyBorder="1" applyAlignment="1">
      <alignment horizontal="center" vertical="top" wrapText="1"/>
    </xf>
    <xf numFmtId="4" fontId="75" fillId="34" borderId="21" xfId="0" applyNumberFormat="1" applyFont="1" applyFill="1" applyBorder="1" applyAlignment="1">
      <alignment horizontal="center" vertical="top" wrapText="1"/>
    </xf>
    <xf numFmtId="49" fontId="73" fillId="34" borderId="30" xfId="0" applyNumberFormat="1" applyFont="1" applyFill="1" applyBorder="1" applyAlignment="1">
      <alignment horizontal="center" vertical="top" wrapText="1"/>
    </xf>
    <xf numFmtId="170" fontId="73" fillId="34" borderId="30" xfId="0" applyNumberFormat="1" applyFont="1" applyFill="1" applyBorder="1" applyAlignment="1">
      <alignment horizontal="center" vertical="top" wrapText="1"/>
    </xf>
    <xf numFmtId="0" fontId="8" fillId="34" borderId="21" xfId="0" applyFont="1" applyFill="1" applyBorder="1" applyAlignment="1">
      <alignment horizontal="center" vertical="top"/>
    </xf>
    <xf numFmtId="0" fontId="8" fillId="34" borderId="23" xfId="0" applyFont="1" applyFill="1" applyBorder="1" applyAlignment="1">
      <alignment horizontal="center" vertical="top"/>
    </xf>
    <xf numFmtId="0" fontId="8" fillId="34" borderId="37" xfId="0" applyFont="1" applyFill="1" applyBorder="1" applyAlignment="1">
      <alignment horizontal="center" vertical="top"/>
    </xf>
    <xf numFmtId="4" fontId="73" fillId="34" borderId="28" xfId="0" applyNumberFormat="1" applyFont="1" applyFill="1" applyBorder="1" applyAlignment="1">
      <alignment horizontal="center" vertical="top" wrapText="1"/>
    </xf>
    <xf numFmtId="3" fontId="73" fillId="34" borderId="30" xfId="0" applyNumberFormat="1" applyFont="1" applyFill="1" applyBorder="1" applyAlignment="1">
      <alignment horizontal="center" vertical="top" wrapText="1"/>
    </xf>
    <xf numFmtId="3" fontId="75" fillId="34" borderId="21" xfId="0" applyNumberFormat="1" applyFont="1" applyFill="1" applyBorder="1" applyAlignment="1">
      <alignment horizontal="center" vertical="top" wrapText="1"/>
    </xf>
    <xf numFmtId="0" fontId="8" fillId="34" borderId="21" xfId="73" applyFont="1" applyFill="1" applyBorder="1" applyAlignment="1">
      <alignment horizontal="center" vertical="top"/>
    </xf>
    <xf numFmtId="4" fontId="73" fillId="34" borderId="21" xfId="73" applyNumberFormat="1" applyFont="1" applyFill="1" applyBorder="1" applyAlignment="1">
      <alignment horizontal="center" vertical="top" wrapText="1"/>
    </xf>
    <xf numFmtId="3" fontId="8" fillId="34" borderId="21" xfId="73" applyNumberFormat="1" applyFont="1" applyFill="1" applyBorder="1" applyAlignment="1">
      <alignment horizontal="right" vertical="top"/>
    </xf>
    <xf numFmtId="3" fontId="73" fillId="34" borderId="21" xfId="73" applyNumberFormat="1" applyFont="1" applyFill="1" applyBorder="1" applyAlignment="1">
      <alignment horizontal="center" vertical="top" wrapText="1"/>
    </xf>
    <xf numFmtId="49" fontId="8" fillId="0" borderId="21" xfId="73" applyNumberFormat="1" applyFont="1" applyFill="1" applyBorder="1" applyAlignment="1">
      <alignment horizontal="center" vertical="top" wrapText="1"/>
    </xf>
    <xf numFmtId="0" fontId="60" fillId="40" borderId="21" xfId="76" applyFont="1" applyFill="1" applyBorder="1" applyAlignment="1">
      <alignment vertical="top"/>
    </xf>
    <xf numFmtId="0" fontId="59" fillId="40" borderId="21" xfId="76" applyFont="1" applyFill="1" applyBorder="1" applyAlignment="1">
      <alignment vertical="top"/>
    </xf>
    <xf numFmtId="49" fontId="59" fillId="40" borderId="21" xfId="76" applyNumberFormat="1" applyFont="1" applyFill="1" applyBorder="1" applyAlignment="1">
      <alignment horizontal="center" vertical="top" wrapText="1"/>
    </xf>
    <xf numFmtId="170" fontId="59" fillId="40" borderId="21" xfId="76" applyNumberFormat="1" applyFont="1" applyFill="1" applyBorder="1" applyAlignment="1">
      <alignment horizontal="center" vertical="top" wrapText="1"/>
    </xf>
    <xf numFmtId="164" fontId="60" fillId="40" borderId="21" xfId="48" applyNumberFormat="1" applyFont="1" applyFill="1" applyBorder="1" applyAlignment="1">
      <alignment horizontal="center" vertical="top" wrapText="1"/>
    </xf>
    <xf numFmtId="4" fontId="59" fillId="40" borderId="21" xfId="76" applyNumberFormat="1" applyFont="1" applyFill="1" applyBorder="1" applyAlignment="1">
      <alignment horizontal="center" vertical="top" wrapText="1"/>
    </xf>
    <xf numFmtId="49" fontId="60" fillId="40" borderId="21" xfId="76" applyNumberFormat="1" applyFont="1" applyFill="1" applyBorder="1" applyAlignment="1">
      <alignment horizontal="center" vertical="top" wrapText="1"/>
    </xf>
    <xf numFmtId="170" fontId="60" fillId="40" borderId="21" xfId="76" applyNumberFormat="1" applyFont="1" applyFill="1" applyBorder="1" applyAlignment="1">
      <alignment horizontal="center" vertical="top" wrapText="1"/>
    </xf>
    <xf numFmtId="4" fontId="60" fillId="40" borderId="21" xfId="76" applyNumberFormat="1" applyFont="1" applyFill="1" applyBorder="1" applyAlignment="1">
      <alignment horizontal="center" vertical="top" wrapText="1"/>
    </xf>
    <xf numFmtId="0" fontId="110" fillId="40" borderId="21" xfId="76" applyFont="1" applyFill="1" applyBorder="1" applyAlignment="1">
      <alignment vertical="top"/>
    </xf>
    <xf numFmtId="49" fontId="109" fillId="40" borderId="21" xfId="76" applyNumberFormat="1" applyFont="1" applyFill="1" applyBorder="1" applyAlignment="1">
      <alignment horizontal="center" vertical="top" wrapText="1"/>
    </xf>
    <xf numFmtId="170" fontId="109" fillId="40" borderId="21" xfId="76" applyNumberFormat="1" applyFont="1" applyFill="1" applyBorder="1" applyAlignment="1">
      <alignment horizontal="center" vertical="top" wrapText="1"/>
    </xf>
    <xf numFmtId="4" fontId="109" fillId="40" borderId="21" xfId="76" applyNumberFormat="1" applyFont="1" applyFill="1" applyBorder="1" applyAlignment="1">
      <alignment horizontal="center" vertical="top" wrapText="1"/>
    </xf>
    <xf numFmtId="3" fontId="73" fillId="0" borderId="64" xfId="0" applyNumberFormat="1" applyFont="1" applyFill="1" applyBorder="1" applyAlignment="1">
      <alignment horizontal="center" vertical="top" wrapText="1"/>
    </xf>
    <xf numFmtId="3" fontId="73" fillId="0" borderId="22" xfId="0" applyNumberFormat="1" applyFont="1" applyFill="1" applyBorder="1" applyAlignment="1">
      <alignment horizontal="center" vertical="top" wrapText="1"/>
    </xf>
    <xf numFmtId="3" fontId="73" fillId="0" borderId="70" xfId="0" applyNumberFormat="1" applyFont="1" applyFill="1" applyBorder="1" applyAlignment="1">
      <alignment horizontal="center" vertical="top" wrapText="1"/>
    </xf>
    <xf numFmtId="3" fontId="73" fillId="0" borderId="28" xfId="0" applyNumberFormat="1" applyFont="1" applyFill="1" applyBorder="1" applyAlignment="1">
      <alignment horizontal="center" vertical="top" wrapText="1"/>
    </xf>
    <xf numFmtId="3" fontId="73" fillId="0" borderId="23" xfId="0" applyNumberFormat="1" applyFont="1" applyFill="1" applyBorder="1" applyAlignment="1">
      <alignment horizontal="center" vertical="top" wrapText="1"/>
    </xf>
    <xf numFmtId="3" fontId="73" fillId="34" borderId="28" xfId="0" applyNumberFormat="1" applyFont="1" applyFill="1" applyBorder="1" applyAlignment="1">
      <alignment horizontal="center" vertical="top" wrapText="1"/>
    </xf>
    <xf numFmtId="164" fontId="116" fillId="34" borderId="22" xfId="46" applyNumberFormat="1" applyFont="1" applyFill="1" applyBorder="1" applyAlignment="1">
      <alignment horizontal="center"/>
    </xf>
    <xf numFmtId="164" fontId="108" fillId="34" borderId="22" xfId="46" applyNumberFormat="1" applyFont="1" applyFill="1" applyBorder="1" applyAlignment="1">
      <alignment horizontal="center" vertical="center"/>
    </xf>
    <xf numFmtId="164" fontId="108" fillId="0" borderId="22" xfId="46" applyNumberFormat="1" applyFont="1" applyFill="1" applyBorder="1" applyAlignment="1">
      <alignment horizontal="center" vertical="center"/>
    </xf>
    <xf numFmtId="164" fontId="117" fillId="34" borderId="22" xfId="46" applyNumberFormat="1" applyFont="1" applyFill="1" applyBorder="1" applyAlignment="1">
      <alignment horizontal="center" vertical="center"/>
    </xf>
    <xf numFmtId="164" fontId="116" fillId="0" borderId="22" xfId="46" applyNumberFormat="1" applyFont="1" applyFill="1" applyBorder="1" applyAlignment="1">
      <alignment horizontal="center"/>
    </xf>
    <xf numFmtId="164" fontId="120" fillId="0" borderId="22" xfId="46" applyNumberFormat="1" applyFont="1" applyFill="1" applyBorder="1" applyAlignment="1">
      <alignment horizontal="center"/>
    </xf>
    <xf numFmtId="3" fontId="116" fillId="34" borderId="22" xfId="80" applyNumberFormat="1" applyFont="1" applyFill="1" applyBorder="1" applyAlignment="1">
      <alignment horizontal="center"/>
    </xf>
    <xf numFmtId="3" fontId="108" fillId="34" borderId="22" xfId="80" applyNumberFormat="1" applyFont="1" applyFill="1" applyBorder="1" applyAlignment="1">
      <alignment horizontal="center" vertical="center"/>
    </xf>
    <xf numFmtId="164" fontId="122" fillId="34" borderId="22" xfId="46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3" fontId="8" fillId="0" borderId="21" xfId="46" applyNumberFormat="1" applyFont="1" applyFill="1" applyBorder="1" applyAlignment="1">
      <alignment horizontal="center"/>
    </xf>
    <xf numFmtId="3" fontId="8" fillId="34" borderId="21" xfId="46" applyNumberFormat="1" applyFont="1" applyFill="1" applyBorder="1" applyAlignment="1">
      <alignment horizontal="center"/>
    </xf>
    <xf numFmtId="3" fontId="116" fillId="34" borderId="21" xfId="46" applyNumberFormat="1" applyFont="1" applyFill="1" applyBorder="1" applyAlignment="1">
      <alignment horizontal="center"/>
    </xf>
    <xf numFmtId="3" fontId="108" fillId="34" borderId="21" xfId="46" applyNumberFormat="1" applyFont="1" applyFill="1" applyBorder="1" applyAlignment="1">
      <alignment horizontal="center" vertical="center"/>
    </xf>
    <xf numFmtId="3" fontId="108" fillId="0" borderId="21" xfId="46" applyNumberFormat="1" applyFont="1" applyFill="1" applyBorder="1" applyAlignment="1">
      <alignment horizontal="center" vertical="center"/>
    </xf>
    <xf numFmtId="3" fontId="117" fillId="34" borderId="21" xfId="46" applyNumberFormat="1" applyFont="1" applyFill="1" applyBorder="1" applyAlignment="1">
      <alignment horizontal="center" vertical="center"/>
    </xf>
    <xf numFmtId="3" fontId="88" fillId="0" borderId="21" xfId="0" applyNumberFormat="1" applyFont="1" applyFill="1" applyBorder="1" applyAlignment="1">
      <alignment horizontal="center"/>
    </xf>
    <xf numFmtId="3" fontId="116" fillId="0" borderId="21" xfId="46" applyNumberFormat="1" applyFont="1" applyFill="1" applyBorder="1" applyAlignment="1">
      <alignment horizontal="center"/>
    </xf>
    <xf numFmtId="3" fontId="117" fillId="0" borderId="21" xfId="46" applyNumberFormat="1" applyFont="1" applyFill="1" applyBorder="1" applyAlignment="1">
      <alignment horizontal="center" vertical="center"/>
    </xf>
    <xf numFmtId="3" fontId="120" fillId="0" borderId="21" xfId="46" applyNumberFormat="1" applyFont="1" applyFill="1" applyBorder="1" applyAlignment="1">
      <alignment horizontal="center"/>
    </xf>
    <xf numFmtId="4" fontId="105" fillId="34" borderId="24" xfId="73" applyNumberFormat="1" applyFont="1" applyFill="1" applyBorder="1" applyAlignment="1">
      <alignment horizontal="center" vertical="top" wrapText="1"/>
    </xf>
    <xf numFmtId="49" fontId="10" fillId="34" borderId="21" xfId="76" applyNumberFormat="1" applyFont="1" applyFill="1" applyBorder="1" applyAlignment="1">
      <alignment horizontal="center" vertical="top" wrapText="1"/>
    </xf>
    <xf numFmtId="43" fontId="0" fillId="0" borderId="0" xfId="46" applyFont="1"/>
    <xf numFmtId="49" fontId="0" fillId="0" borderId="0" xfId="0" applyNumberFormat="1"/>
    <xf numFmtId="1" fontId="0" fillId="0" borderId="0" xfId="46" applyNumberFormat="1" applyFont="1"/>
    <xf numFmtId="1" fontId="3" fillId="0" borderId="0" xfId="46" applyNumberFormat="1" applyFont="1"/>
    <xf numFmtId="0" fontId="0" fillId="0" borderId="0" xfId="46" applyNumberFormat="1" applyFont="1"/>
    <xf numFmtId="0" fontId="3" fillId="0" borderId="0" xfId="46" applyNumberFormat="1" applyFont="1"/>
    <xf numFmtId="1" fontId="0" fillId="35" borderId="21" xfId="46" applyNumberFormat="1" applyFont="1" applyFill="1" applyBorder="1"/>
    <xf numFmtId="0" fontId="0" fillId="35" borderId="21" xfId="46" applyNumberFormat="1" applyFont="1" applyFill="1" applyBorder="1"/>
    <xf numFmtId="1" fontId="59" fillId="40" borderId="21" xfId="76" applyNumberFormat="1" applyFont="1" applyFill="1" applyBorder="1" applyAlignment="1">
      <alignment horizontal="center" vertical="top" wrapText="1"/>
    </xf>
    <xf numFmtId="1" fontId="59" fillId="34" borderId="21" xfId="76" applyNumberFormat="1" applyFont="1" applyFill="1" applyBorder="1" applyAlignment="1">
      <alignment horizontal="center" vertical="top" wrapText="1"/>
    </xf>
    <xf numFmtId="1" fontId="8" fillId="34" borderId="21" xfId="0" applyNumberFormat="1" applyFont="1" applyFill="1" applyBorder="1" applyAlignment="1">
      <alignment horizontal="center" vertical="top" wrapText="1"/>
    </xf>
    <xf numFmtId="1" fontId="59" fillId="34" borderId="21" xfId="46" applyNumberFormat="1" applyFont="1" applyFill="1" applyBorder="1" applyAlignment="1">
      <alignment horizontal="center" vertical="top"/>
    </xf>
    <xf numFmtId="164" fontId="8" fillId="0" borderId="0" xfId="46" applyNumberFormat="1" applyFont="1" applyFill="1" applyAlignment="1"/>
    <xf numFmtId="0" fontId="8" fillId="0" borderId="0" xfId="0" applyFont="1" applyFill="1" applyAlignment="1"/>
    <xf numFmtId="0" fontId="8" fillId="0" borderId="0" xfId="76" applyFont="1" applyFill="1" applyAlignment="1"/>
    <xf numFmtId="2" fontId="8" fillId="0" borderId="0" xfId="0" applyNumberFormat="1" applyFont="1" applyFill="1" applyAlignment="1"/>
    <xf numFmtId="1" fontId="8" fillId="0" borderId="0" xfId="0" applyNumberFormat="1" applyFont="1" applyFill="1" applyAlignment="1"/>
    <xf numFmtId="170" fontId="8" fillId="0" borderId="0" xfId="76" applyNumberFormat="1" applyFont="1" applyFill="1" applyBorder="1" applyAlignment="1">
      <alignment wrapText="1"/>
    </xf>
    <xf numFmtId="164" fontId="8" fillId="0" borderId="0" xfId="0" applyNumberFormat="1" applyFont="1" applyFill="1" applyAlignment="1"/>
    <xf numFmtId="49" fontId="8" fillId="0" borderId="0" xfId="76" applyNumberFormat="1" applyFont="1" applyFill="1" applyBorder="1" applyAlignment="1"/>
    <xf numFmtId="2" fontId="8" fillId="0" borderId="0" xfId="0" applyNumberFormat="1" applyFont="1" applyFill="1" applyBorder="1" applyAlignment="1"/>
    <xf numFmtId="164" fontId="8" fillId="0" borderId="0" xfId="46" applyNumberFormat="1" applyFont="1" applyFill="1" applyBorder="1" applyAlignment="1"/>
    <xf numFmtId="164" fontId="8" fillId="0" borderId="0" xfId="48" applyNumberFormat="1" applyFont="1" applyFill="1" applyBorder="1" applyAlignment="1"/>
    <xf numFmtId="43" fontId="8" fillId="0" borderId="0" xfId="46" applyFont="1" applyFill="1" applyAlignment="1"/>
    <xf numFmtId="43" fontId="8" fillId="0" borderId="0" xfId="46" applyFont="1" applyFill="1" applyBorder="1" applyAlignment="1"/>
    <xf numFmtId="2" fontId="8" fillId="0" borderId="0" xfId="76" applyNumberFormat="1" applyFont="1" applyFill="1" applyBorder="1" applyAlignment="1">
      <alignment wrapText="1"/>
    </xf>
    <xf numFmtId="0" fontId="7" fillId="0" borderId="0" xfId="0" applyFont="1" applyFill="1" applyAlignment="1"/>
    <xf numFmtId="170" fontId="7" fillId="0" borderId="0" xfId="76" applyNumberFormat="1" applyFont="1" applyFill="1" applyBorder="1" applyAlignment="1">
      <alignment wrapText="1"/>
    </xf>
    <xf numFmtId="0" fontId="14" fillId="0" borderId="0" xfId="0" applyFont="1" applyFill="1" applyAlignment="1"/>
    <xf numFmtId="43" fontId="84" fillId="0" borderId="21" xfId="46" applyFont="1" applyBorder="1" applyAlignment="1">
      <alignment horizontal="center" vertical="center"/>
    </xf>
    <xf numFmtId="43" fontId="84" fillId="0" borderId="21" xfId="46" applyFont="1" applyFill="1" applyBorder="1" applyAlignment="1">
      <alignment horizontal="center" vertical="center"/>
    </xf>
    <xf numFmtId="43" fontId="83" fillId="0" borderId="21" xfId="46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164" fontId="153" fillId="0" borderId="0" xfId="46" applyNumberFormat="1" applyFont="1" applyFill="1" applyAlignment="1"/>
    <xf numFmtId="43" fontId="153" fillId="0" borderId="0" xfId="46" applyFont="1" applyFill="1" applyAlignment="1"/>
    <xf numFmtId="43" fontId="153" fillId="0" borderId="0" xfId="46" applyFont="1" applyFill="1" applyBorder="1" applyAlignment="1"/>
    <xf numFmtId="2" fontId="14" fillId="0" borderId="0" xfId="0" applyNumberFormat="1" applyFont="1" applyFill="1" applyAlignment="1"/>
    <xf numFmtId="0" fontId="152" fillId="0" borderId="0" xfId="0" applyFont="1" applyFill="1" applyAlignment="1"/>
    <xf numFmtId="43" fontId="14" fillId="0" borderId="0" xfId="46" applyFont="1" applyFill="1" applyAlignment="1"/>
    <xf numFmtId="164" fontId="14" fillId="0" borderId="0" xfId="46" applyNumberFormat="1" applyFont="1" applyFill="1" applyAlignment="1"/>
    <xf numFmtId="164" fontId="153" fillId="0" borderId="0" xfId="0" applyNumberFormat="1" applyFont="1" applyFill="1" applyAlignment="1"/>
    <xf numFmtId="0" fontId="153" fillId="0" borderId="0" xfId="0" applyFont="1" applyFill="1" applyAlignment="1"/>
    <xf numFmtId="9" fontId="11" fillId="0" borderId="21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43" fontId="60" fillId="0" borderId="21" xfId="46" applyFont="1" applyFill="1" applyBorder="1" applyAlignment="1">
      <alignment horizontal="center" vertical="center" wrapText="1"/>
    </xf>
    <xf numFmtId="43" fontId="60" fillId="0" borderId="21" xfId="46" applyFont="1" applyFill="1" applyBorder="1" applyAlignment="1">
      <alignment horizontal="center" vertical="center"/>
    </xf>
    <xf numFmtId="0" fontId="14" fillId="35" borderId="0" xfId="0" applyFont="1" applyFill="1" applyAlignment="1"/>
    <xf numFmtId="2" fontId="8" fillId="35" borderId="0" xfId="0" applyNumberFormat="1" applyFont="1" applyFill="1" applyAlignment="1"/>
    <xf numFmtId="0" fontId="8" fillId="35" borderId="0" xfId="0" applyFont="1" applyFill="1" applyAlignment="1"/>
    <xf numFmtId="164" fontId="98" fillId="0" borderId="0" xfId="46" applyNumberFormat="1" applyFont="1" applyFill="1" applyAlignment="1"/>
    <xf numFmtId="0" fontId="98" fillId="0" borderId="0" xfId="0" applyFont="1" applyFill="1" applyAlignment="1"/>
    <xf numFmtId="164" fontId="116" fillId="0" borderId="0" xfId="46" applyNumberFormat="1" applyFont="1" applyFill="1" applyBorder="1" applyAlignment="1">
      <alignment horizontal="center"/>
    </xf>
    <xf numFmtId="167" fontId="154" fillId="34" borderId="21" xfId="80" applyNumberFormat="1" applyFont="1" applyFill="1" applyBorder="1" applyAlignment="1">
      <alignment horizontal="center"/>
    </xf>
    <xf numFmtId="0" fontId="154" fillId="34" borderId="21" xfId="80" applyFont="1" applyFill="1" applyBorder="1" applyAlignment="1"/>
    <xf numFmtId="3" fontId="154" fillId="0" borderId="21" xfId="80" applyNumberFormat="1" applyFont="1" applyFill="1" applyBorder="1" applyAlignment="1">
      <alignment horizontal="center"/>
    </xf>
    <xf numFmtId="164" fontId="154" fillId="0" borderId="21" xfId="46" applyNumberFormat="1" applyFont="1" applyFill="1" applyBorder="1" applyAlignment="1">
      <alignment horizontal="center"/>
    </xf>
    <xf numFmtId="164" fontId="154" fillId="0" borderId="0" xfId="46" applyNumberFormat="1" applyFont="1" applyFill="1" applyBorder="1" applyAlignment="1">
      <alignment horizontal="center"/>
    </xf>
    <xf numFmtId="3" fontId="154" fillId="0" borderId="21" xfId="46" applyNumberFormat="1" applyFont="1" applyFill="1" applyBorder="1" applyAlignment="1">
      <alignment horizontal="center"/>
    </xf>
    <xf numFmtId="0" fontId="154" fillId="0" borderId="0" xfId="0" applyFont="1" applyFill="1" applyAlignment="1"/>
    <xf numFmtId="3" fontId="154" fillId="34" borderId="21" xfId="46" applyNumberFormat="1" applyFont="1" applyFill="1" applyBorder="1" applyAlignment="1">
      <alignment horizontal="center"/>
    </xf>
    <xf numFmtId="3" fontId="8" fillId="34" borderId="0" xfId="0" applyNumberFormat="1" applyFont="1" applyFill="1" applyAlignment="1">
      <alignment horizontal="center"/>
    </xf>
    <xf numFmtId="3" fontId="88" fillId="34" borderId="0" xfId="0" applyNumberFormat="1" applyFont="1" applyFill="1" applyAlignment="1">
      <alignment horizontal="center"/>
    </xf>
    <xf numFmtId="164" fontId="8" fillId="35" borderId="0" xfId="46" applyNumberFormat="1" applyFont="1" applyFill="1" applyAlignment="1"/>
    <xf numFmtId="166" fontId="8" fillId="0" borderId="0" xfId="0" applyNumberFormat="1" applyFont="1" applyFill="1" applyAlignment="1"/>
    <xf numFmtId="43" fontId="8" fillId="0" borderId="0" xfId="0" applyNumberFormat="1" applyFont="1" applyFill="1" applyAlignment="1"/>
    <xf numFmtId="0" fontId="8" fillId="0" borderId="0" xfId="0" applyFont="1" applyFill="1" applyAlignment="1">
      <alignment horizontal="center" wrapText="1"/>
    </xf>
    <xf numFmtId="0" fontId="11" fillId="0" borderId="0" xfId="0" applyFont="1" applyAlignment="1">
      <alignment horizontal="right" vertical="center" readingOrder="2"/>
    </xf>
    <xf numFmtId="167" fontId="11" fillId="34" borderId="21" xfId="80" applyNumberFormat="1" applyFont="1" applyFill="1" applyBorder="1" applyAlignment="1">
      <alignment horizontal="center"/>
    </xf>
    <xf numFmtId="0" fontId="4" fillId="34" borderId="21" xfId="80" applyFont="1" applyFill="1" applyBorder="1" applyAlignment="1"/>
    <xf numFmtId="3" fontId="4" fillId="0" borderId="21" xfId="46" applyNumberFormat="1" applyFont="1" applyFill="1" applyBorder="1" applyAlignment="1">
      <alignment horizontal="center"/>
    </xf>
    <xf numFmtId="1" fontId="4" fillId="0" borderId="0" xfId="0" applyNumberFormat="1" applyFont="1"/>
    <xf numFmtId="167" fontId="106" fillId="34" borderId="0" xfId="80" applyNumberFormat="1" applyFont="1" applyFill="1" applyBorder="1" applyAlignment="1">
      <alignment horizontal="center"/>
    </xf>
    <xf numFmtId="0" fontId="106" fillId="0" borderId="0" xfId="0" applyFont="1"/>
    <xf numFmtId="1" fontId="106" fillId="0" borderId="0" xfId="0" applyNumberFormat="1" applyFont="1"/>
    <xf numFmtId="3" fontId="4" fillId="0" borderId="0" xfId="0" applyNumberFormat="1" applyFont="1"/>
    <xf numFmtId="0" fontId="106" fillId="35" borderId="21" xfId="80" applyFont="1" applyFill="1" applyBorder="1" applyAlignment="1"/>
    <xf numFmtId="167" fontId="60" fillId="43" borderId="21" xfId="80" applyNumberFormat="1" applyFont="1" applyFill="1" applyBorder="1" applyAlignment="1">
      <alignment horizontal="center"/>
    </xf>
    <xf numFmtId="0" fontId="59" fillId="43" borderId="21" xfId="80" applyFont="1" applyFill="1" applyBorder="1" applyAlignment="1"/>
    <xf numFmtId="3" fontId="59" fillId="43" borderId="21" xfId="0" applyNumberFormat="1" applyFont="1" applyFill="1" applyBorder="1" applyAlignment="1">
      <alignment horizontal="center"/>
    </xf>
    <xf numFmtId="164" fontId="59" fillId="43" borderId="21" xfId="46" applyNumberFormat="1" applyFont="1" applyFill="1" applyBorder="1" applyAlignment="1">
      <alignment horizontal="center"/>
    </xf>
    <xf numFmtId="164" fontId="59" fillId="43" borderId="0" xfId="46" applyNumberFormat="1" applyFont="1" applyFill="1" applyBorder="1" applyAlignment="1">
      <alignment horizontal="center"/>
    </xf>
    <xf numFmtId="0" fontId="8" fillId="43" borderId="0" xfId="0" applyFont="1" applyFill="1" applyAlignment="1">
      <alignment horizontal="center"/>
    </xf>
    <xf numFmtId="3" fontId="8" fillId="43" borderId="0" xfId="0" applyNumberFormat="1" applyFont="1" applyFill="1" applyAlignment="1">
      <alignment horizontal="center"/>
    </xf>
    <xf numFmtId="3" fontId="88" fillId="43" borderId="0" xfId="0" applyNumberFormat="1" applyFont="1" applyFill="1" applyAlignment="1">
      <alignment horizontal="center"/>
    </xf>
    <xf numFmtId="3" fontId="8" fillId="43" borderId="21" xfId="46" applyNumberFormat="1" applyFont="1" applyFill="1" applyBorder="1" applyAlignment="1">
      <alignment horizontal="center"/>
    </xf>
    <xf numFmtId="167" fontId="60" fillId="43" borderId="21" xfId="0" applyNumberFormat="1" applyFont="1" applyFill="1" applyBorder="1" applyAlignment="1">
      <alignment horizontal="center"/>
    </xf>
    <xf numFmtId="0" fontId="59" fillId="43" borderId="21" xfId="0" applyFont="1" applyFill="1" applyBorder="1" applyAlignment="1"/>
    <xf numFmtId="3" fontId="78" fillId="0" borderId="0" xfId="0" applyNumberFormat="1" applyFont="1" applyFill="1" applyAlignment="1">
      <alignment horizontal="center"/>
    </xf>
    <xf numFmtId="174" fontId="8" fillId="0" borderId="0" xfId="0" applyNumberFormat="1" applyFont="1" applyFill="1" applyAlignment="1">
      <alignment horizontal="center"/>
    </xf>
    <xf numFmtId="0" fontId="93" fillId="0" borderId="79" xfId="76" applyFont="1" applyBorder="1"/>
    <xf numFmtId="0" fontId="76" fillId="0" borderId="79" xfId="76" applyFont="1" applyBorder="1"/>
    <xf numFmtId="0" fontId="11" fillId="0" borderId="28" xfId="76" applyFont="1" applyFill="1" applyBorder="1" applyAlignment="1">
      <alignment horizontal="center" vertical="center" wrapText="1"/>
    </xf>
    <xf numFmtId="0" fontId="76" fillId="0" borderId="78" xfId="76" applyFont="1" applyBorder="1"/>
    <xf numFmtId="0" fontId="76" fillId="0" borderId="24" xfId="76" applyFont="1" applyBorder="1"/>
    <xf numFmtId="0" fontId="93" fillId="0" borderId="24" xfId="76" applyFont="1" applyBorder="1"/>
    <xf numFmtId="0" fontId="155" fillId="0" borderId="21" xfId="76" applyFont="1" applyBorder="1" applyAlignment="1">
      <alignment horizontal="center"/>
    </xf>
    <xf numFmtId="0" fontId="4" fillId="0" borderId="21" xfId="76" applyFont="1" applyBorder="1" applyAlignment="1">
      <alignment horizontal="center" vertical="center"/>
    </xf>
    <xf numFmtId="0" fontId="4" fillId="0" borderId="21" xfId="76" applyFont="1" applyBorder="1" applyAlignment="1">
      <alignment horizontal="center"/>
    </xf>
    <xf numFmtId="0" fontId="11" fillId="0" borderId="28" xfId="76" applyFont="1" applyBorder="1" applyAlignment="1">
      <alignment horizontal="center"/>
    </xf>
    <xf numFmtId="0" fontId="4" fillId="0" borderId="30" xfId="76" applyFont="1" applyBorder="1" applyAlignment="1">
      <alignment horizontal="center"/>
    </xf>
    <xf numFmtId="0" fontId="11" fillId="0" borderId="21" xfId="76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4" borderId="21" xfId="78" applyFont="1" applyFill="1" applyBorder="1" applyAlignment="1">
      <alignment horizontal="center" vertical="center" wrapText="1"/>
    </xf>
    <xf numFmtId="49" fontId="7" fillId="34" borderId="21" xfId="78" applyNumberFormat="1" applyFont="1" applyFill="1" applyBorder="1" applyAlignment="1">
      <alignment horizontal="center" vertical="center" wrapText="1"/>
    </xf>
    <xf numFmtId="49" fontId="7" fillId="0" borderId="21" xfId="78" applyNumberFormat="1" applyFont="1" applyFill="1" applyBorder="1" applyAlignment="1">
      <alignment horizontal="center" vertical="center" wrapText="1"/>
    </xf>
    <xf numFmtId="43" fontId="7" fillId="0" borderId="21" xfId="46" applyFont="1" applyFill="1" applyBorder="1" applyAlignment="1">
      <alignment horizontal="center" vertical="center" wrapText="1"/>
    </xf>
    <xf numFmtId="43" fontId="7" fillId="0" borderId="21" xfId="46" applyFont="1" applyFill="1" applyBorder="1" applyAlignment="1">
      <alignment horizontal="center" vertical="center"/>
    </xf>
    <xf numFmtId="166" fontId="7" fillId="34" borderId="21" xfId="0" applyNumberFormat="1" applyFont="1" applyFill="1" applyBorder="1" applyAlignment="1">
      <alignment horizontal="center" vertical="center" wrapText="1"/>
    </xf>
    <xf numFmtId="0" fontId="7" fillId="34" borderId="21" xfId="0" applyFont="1" applyFill="1" applyBorder="1" applyAlignment="1">
      <alignment horizontal="center" vertical="center" wrapText="1"/>
    </xf>
    <xf numFmtId="167" fontId="7" fillId="34" borderId="21" xfId="80" applyNumberFormat="1" applyFont="1" applyFill="1" applyBorder="1" applyAlignment="1">
      <alignment horizontal="center"/>
    </xf>
    <xf numFmtId="0" fontId="8" fillId="34" borderId="21" xfId="0" applyFont="1" applyFill="1" applyBorder="1" applyAlignment="1"/>
    <xf numFmtId="49" fontId="8" fillId="34" borderId="21" xfId="78" applyNumberFormat="1" applyFont="1" applyFill="1" applyBorder="1" applyAlignment="1">
      <alignment vertical="center" wrapText="1"/>
    </xf>
    <xf numFmtId="49" fontId="8" fillId="37" borderId="21" xfId="78" applyNumberFormat="1" applyFont="1" applyFill="1" applyBorder="1" applyAlignment="1"/>
    <xf numFmtId="49" fontId="8" fillId="34" borderId="21" xfId="78" applyNumberFormat="1" applyFont="1" applyFill="1" applyBorder="1" applyAlignment="1"/>
    <xf numFmtId="3" fontId="8" fillId="0" borderId="21" xfId="0" applyNumberFormat="1" applyFont="1" applyFill="1" applyBorder="1" applyAlignment="1"/>
    <xf numFmtId="0" fontId="8" fillId="34" borderId="21" xfId="80" applyFont="1" applyFill="1" applyBorder="1" applyAlignment="1"/>
    <xf numFmtId="3" fontId="8" fillId="34" borderId="21" xfId="0" applyNumberFormat="1" applyFont="1" applyFill="1" applyBorder="1" applyAlignment="1"/>
    <xf numFmtId="3" fontId="8" fillId="0" borderId="21" xfId="46" applyNumberFormat="1" applyFont="1" applyFill="1" applyBorder="1" applyAlignment="1"/>
    <xf numFmtId="167" fontId="7" fillId="34" borderId="21" xfId="0" applyNumberFormat="1" applyFont="1" applyFill="1" applyBorder="1" applyAlignment="1">
      <alignment horizontal="center"/>
    </xf>
    <xf numFmtId="3" fontId="7" fillId="0" borderId="21" xfId="0" applyNumberFormat="1" applyFont="1" applyBorder="1" applyAlignment="1"/>
    <xf numFmtId="164" fontId="8" fillId="0" borderId="21" xfId="46" applyNumberFormat="1" applyFont="1" applyBorder="1" applyAlignment="1">
      <alignment horizontal="center" vertical="center"/>
    </xf>
    <xf numFmtId="166" fontId="156" fillId="34" borderId="21" xfId="0" applyNumberFormat="1" applyFont="1" applyFill="1" applyBorder="1" applyAlignment="1">
      <alignment horizontal="center"/>
    </xf>
    <xf numFmtId="0" fontId="157" fillId="0" borderId="21" xfId="0" applyFont="1" applyFill="1" applyBorder="1" applyAlignment="1">
      <alignment horizontal="right"/>
    </xf>
    <xf numFmtId="164" fontId="157" fillId="0" borderId="21" xfId="46" applyNumberFormat="1" applyFont="1" applyBorder="1"/>
    <xf numFmtId="3" fontId="8" fillId="0" borderId="21" xfId="0" applyNumberFormat="1" applyFont="1" applyFill="1" applyBorder="1" applyAlignment="1">
      <alignment horizontal="right" vertical="center"/>
    </xf>
    <xf numFmtId="164" fontId="8" fillId="0" borderId="21" xfId="46" applyNumberFormat="1" applyFont="1" applyBorder="1" applyAlignment="1">
      <alignment horizontal="right" vertical="center"/>
    </xf>
    <xf numFmtId="3" fontId="8" fillId="34" borderId="21" xfId="0" applyNumberFormat="1" applyFont="1" applyFill="1" applyBorder="1" applyAlignment="1">
      <alignment horizontal="right" vertical="center"/>
    </xf>
    <xf numFmtId="3" fontId="8" fillId="0" borderId="21" xfId="46" applyNumberFormat="1" applyFont="1" applyBorder="1" applyAlignment="1">
      <alignment horizontal="right" vertical="center"/>
    </xf>
    <xf numFmtId="3" fontId="8" fillId="0" borderId="21" xfId="46" applyNumberFormat="1" applyFont="1" applyFill="1" applyBorder="1" applyAlignment="1">
      <alignment horizontal="right" vertical="center"/>
    </xf>
    <xf numFmtId="3" fontId="8" fillId="0" borderId="21" xfId="0" applyNumberFormat="1" applyFont="1" applyFill="1" applyBorder="1" applyAlignment="1">
      <alignment vertical="center"/>
    </xf>
    <xf numFmtId="3" fontId="8" fillId="34" borderId="21" xfId="0" applyNumberFormat="1" applyFont="1" applyFill="1" applyBorder="1" applyAlignment="1">
      <alignment vertical="center"/>
    </xf>
    <xf numFmtId="3" fontId="8" fillId="0" borderId="21" xfId="46" applyNumberFormat="1" applyFont="1" applyBorder="1" applyAlignment="1">
      <alignment vertical="center"/>
    </xf>
    <xf numFmtId="164" fontId="8" fillId="0" borderId="21" xfId="46" applyNumberFormat="1" applyFont="1" applyBorder="1" applyAlignment="1">
      <alignment vertical="center"/>
    </xf>
    <xf numFmtId="3" fontId="60" fillId="0" borderId="21" xfId="0" applyNumberFormat="1" applyFont="1" applyBorder="1"/>
    <xf numFmtId="165" fontId="8" fillId="0" borderId="0" xfId="79" applyNumberFormat="1" applyFont="1" applyFill="1"/>
    <xf numFmtId="0" fontId="158" fillId="0" borderId="21" xfId="0" applyFont="1" applyFill="1" applyBorder="1" applyAlignment="1"/>
    <xf numFmtId="3" fontId="8" fillId="0" borderId="0" xfId="79" applyNumberFormat="1" applyFont="1" applyFill="1"/>
    <xf numFmtId="164" fontId="59" fillId="0" borderId="0" xfId="46" applyNumberFormat="1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166" fontId="60" fillId="34" borderId="21" xfId="78" applyNumberFormat="1" applyFont="1" applyFill="1" applyBorder="1" applyAlignment="1">
      <alignment horizontal="center"/>
    </xf>
    <xf numFmtId="0" fontId="60" fillId="34" borderId="21" xfId="78" applyFont="1" applyFill="1" applyBorder="1" applyAlignment="1">
      <alignment horizontal="center"/>
    </xf>
    <xf numFmtId="49" fontId="60" fillId="34" borderId="21" xfId="78" applyNumberFormat="1" applyFont="1" applyFill="1" applyBorder="1" applyAlignment="1">
      <alignment horizontal="center"/>
    </xf>
    <xf numFmtId="49" fontId="60" fillId="0" borderId="21" xfId="78" applyNumberFormat="1" applyFont="1" applyFill="1" applyBorder="1" applyAlignment="1">
      <alignment horizontal="center"/>
    </xf>
    <xf numFmtId="49" fontId="60" fillId="34" borderId="0" xfId="78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center"/>
    </xf>
    <xf numFmtId="49" fontId="60" fillId="37" borderId="21" xfId="78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166" fontId="59" fillId="34" borderId="21" xfId="0" applyNumberFormat="1" applyFont="1" applyFill="1" applyBorder="1" applyAlignment="1">
      <alignment horizontal="center"/>
    </xf>
    <xf numFmtId="3" fontId="59" fillId="36" borderId="21" xfId="0" applyNumberFormat="1" applyFont="1" applyFill="1" applyBorder="1" applyAlignment="1">
      <alignment horizontal="center"/>
    </xf>
    <xf numFmtId="3" fontId="59" fillId="0" borderId="0" xfId="0" applyNumberFormat="1" applyFont="1"/>
    <xf numFmtId="4" fontId="59" fillId="0" borderId="0" xfId="0" applyNumberFormat="1" applyFont="1"/>
    <xf numFmtId="3" fontId="59" fillId="0" borderId="0" xfId="0" applyNumberFormat="1" applyFont="1" applyFill="1" applyAlignment="1">
      <alignment horizontal="center"/>
    </xf>
    <xf numFmtId="166" fontId="59" fillId="41" borderId="21" xfId="0" applyNumberFormat="1" applyFont="1" applyFill="1" applyBorder="1" applyAlignment="1">
      <alignment horizontal="center"/>
    </xf>
    <xf numFmtId="0" fontId="59" fillId="41" borderId="21" xfId="0" applyFont="1" applyFill="1" applyBorder="1" applyAlignment="1">
      <alignment horizontal="right"/>
    </xf>
    <xf numFmtId="3" fontId="59" fillId="41" borderId="21" xfId="0" applyNumberFormat="1" applyFont="1" applyFill="1" applyBorder="1" applyAlignment="1">
      <alignment horizontal="center"/>
    </xf>
    <xf numFmtId="0" fontId="59" fillId="41" borderId="0" xfId="0" applyFont="1" applyFill="1" applyAlignment="1">
      <alignment horizontal="center"/>
    </xf>
    <xf numFmtId="3" fontId="59" fillId="41" borderId="0" xfId="0" applyNumberFormat="1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59" fillId="34" borderId="0" xfId="0" applyFont="1" applyFill="1" applyBorder="1" applyAlignment="1">
      <alignment horizontal="center"/>
    </xf>
    <xf numFmtId="3" fontId="59" fillId="45" borderId="21" xfId="0" applyNumberFormat="1" applyFont="1" applyFill="1" applyBorder="1" applyAlignment="1">
      <alignment horizontal="center"/>
    </xf>
    <xf numFmtId="3" fontId="59" fillId="34" borderId="21" xfId="46" applyNumberFormat="1" applyFont="1" applyFill="1" applyBorder="1" applyAlignment="1">
      <alignment horizontal="center"/>
    </xf>
    <xf numFmtId="3" fontId="59" fillId="38" borderId="21" xfId="0" applyNumberFormat="1" applyFont="1" applyFill="1" applyBorder="1" applyAlignment="1">
      <alignment horizontal="center"/>
    </xf>
    <xf numFmtId="3" fontId="59" fillId="0" borderId="21" xfId="46" applyNumberFormat="1" applyFont="1" applyBorder="1" applyAlignment="1">
      <alignment horizontal="center"/>
    </xf>
    <xf numFmtId="0" fontId="60" fillId="0" borderId="0" xfId="0" applyFont="1" applyFill="1"/>
    <xf numFmtId="166" fontId="159" fillId="0" borderId="21" xfId="0" applyNumberFormat="1" applyFont="1" applyFill="1" applyBorder="1" applyAlignment="1">
      <alignment horizontal="center"/>
    </xf>
    <xf numFmtId="0" fontId="116" fillId="0" borderId="21" xfId="0" applyFont="1" applyFill="1" applyBorder="1" applyAlignment="1">
      <alignment horizontal="right"/>
    </xf>
    <xf numFmtId="3" fontId="116" fillId="0" borderId="21" xfId="0" applyNumberFormat="1" applyFont="1" applyFill="1" applyBorder="1" applyAlignment="1">
      <alignment horizontal="center"/>
    </xf>
    <xf numFmtId="0" fontId="59" fillId="0" borderId="0" xfId="0" applyFont="1" applyFill="1"/>
    <xf numFmtId="166" fontId="121" fillId="34" borderId="21" xfId="0" applyNumberFormat="1" applyFont="1" applyFill="1" applyBorder="1" applyAlignment="1">
      <alignment horizontal="center"/>
    </xf>
    <xf numFmtId="0" fontId="160" fillId="34" borderId="21" xfId="0" applyFont="1" applyFill="1" applyBorder="1" applyAlignment="1">
      <alignment horizontal="right"/>
    </xf>
    <xf numFmtId="3" fontId="59" fillId="0" borderId="0" xfId="0" applyNumberFormat="1" applyFont="1" applyBorder="1" applyAlignment="1">
      <alignment horizontal="center"/>
    </xf>
    <xf numFmtId="3" fontId="59" fillId="0" borderId="21" xfId="46" applyNumberFormat="1" applyFont="1" applyFill="1" applyBorder="1" applyAlignment="1">
      <alignment horizontal="center"/>
    </xf>
    <xf numFmtId="0" fontId="59" fillId="0" borderId="0" xfId="0" applyFont="1" applyFill="1" applyBorder="1"/>
    <xf numFmtId="166" fontId="59" fillId="0" borderId="21" xfId="0" applyNumberFormat="1" applyFont="1" applyFill="1" applyBorder="1" applyAlignment="1">
      <alignment horizontal="center"/>
    </xf>
    <xf numFmtId="0" fontId="59" fillId="0" borderId="21" xfId="0" applyFont="1" applyFill="1" applyBorder="1" applyAlignment="1">
      <alignment horizontal="right"/>
    </xf>
    <xf numFmtId="166" fontId="159" fillId="34" borderId="21" xfId="0" applyNumberFormat="1" applyFont="1" applyFill="1" applyBorder="1" applyAlignment="1">
      <alignment horizontal="center"/>
    </xf>
    <xf numFmtId="0" fontId="116" fillId="34" borderId="21" xfId="0" applyFont="1" applyFill="1" applyBorder="1" applyAlignment="1">
      <alignment horizontal="right"/>
    </xf>
    <xf numFmtId="0" fontId="114" fillId="34" borderId="21" xfId="0" applyFont="1" applyFill="1" applyBorder="1" applyAlignment="1">
      <alignment horizontal="right"/>
    </xf>
    <xf numFmtId="166" fontId="110" fillId="34" borderId="21" xfId="0" applyNumberFormat="1" applyFont="1" applyFill="1" applyBorder="1" applyAlignment="1">
      <alignment horizontal="center"/>
    </xf>
    <xf numFmtId="0" fontId="161" fillId="34" borderId="21" xfId="0" applyFont="1" applyFill="1" applyBorder="1" applyAlignment="1">
      <alignment horizontal="right"/>
    </xf>
    <xf numFmtId="3" fontId="161" fillId="34" borderId="21" xfId="0" applyNumberFormat="1" applyFont="1" applyFill="1" applyBorder="1" applyAlignment="1">
      <alignment horizontal="center"/>
    </xf>
    <xf numFmtId="0" fontId="59" fillId="41" borderId="21" xfId="0" applyFont="1" applyFill="1" applyBorder="1"/>
    <xf numFmtId="0" fontId="59" fillId="41" borderId="0" xfId="0" applyFont="1" applyFill="1"/>
    <xf numFmtId="0" fontId="162" fillId="34" borderId="21" xfId="0" applyFont="1" applyFill="1" applyBorder="1" applyAlignment="1">
      <alignment horizontal="right"/>
    </xf>
    <xf numFmtId="3" fontId="59" fillId="37" borderId="21" xfId="0" applyNumberFormat="1" applyFont="1" applyFill="1" applyBorder="1" applyAlignment="1">
      <alignment horizontal="center"/>
    </xf>
    <xf numFmtId="3" fontId="116" fillId="34" borderId="0" xfId="0" applyNumberFormat="1" applyFont="1" applyFill="1" applyBorder="1" applyAlignment="1">
      <alignment horizontal="center"/>
    </xf>
    <xf numFmtId="166" fontId="158" fillId="0" borderId="21" xfId="0" applyNumberFormat="1" applyFont="1" applyFill="1" applyBorder="1" applyAlignment="1">
      <alignment horizontal="center"/>
    </xf>
    <xf numFmtId="3" fontId="59" fillId="0" borderId="0" xfId="0" applyNumberFormat="1" applyFont="1" applyFill="1"/>
    <xf numFmtId="4" fontId="59" fillId="0" borderId="0" xfId="0" applyNumberFormat="1" applyFont="1" applyFill="1"/>
    <xf numFmtId="3" fontId="161" fillId="34" borderId="22" xfId="0" applyNumberFormat="1" applyFont="1" applyFill="1" applyBorder="1" applyAlignment="1">
      <alignment horizontal="center"/>
    </xf>
    <xf numFmtId="3" fontId="161" fillId="34" borderId="24" xfId="0" applyNumberFormat="1" applyFont="1" applyFill="1" applyBorder="1" applyAlignment="1">
      <alignment horizontal="center"/>
    </xf>
    <xf numFmtId="3" fontId="161" fillId="34" borderId="0" xfId="0" applyNumberFormat="1" applyFont="1" applyFill="1" applyBorder="1" applyAlignment="1">
      <alignment horizontal="center"/>
    </xf>
    <xf numFmtId="0" fontId="109" fillId="34" borderId="0" xfId="0" applyFont="1" applyFill="1"/>
    <xf numFmtId="166" fontId="158" fillId="41" borderId="21" xfId="0" applyNumberFormat="1" applyFont="1" applyFill="1" applyBorder="1" applyAlignment="1">
      <alignment horizontal="center"/>
    </xf>
    <xf numFmtId="0" fontId="59" fillId="34" borderId="0" xfId="0" applyFont="1" applyFill="1" applyBorder="1"/>
    <xf numFmtId="0" fontId="59" fillId="34" borderId="0" xfId="0" applyFont="1" applyFill="1"/>
    <xf numFmtId="3" fontId="160" fillId="34" borderId="21" xfId="0" applyNumberFormat="1" applyFont="1" applyFill="1" applyBorder="1" applyAlignment="1">
      <alignment horizontal="center"/>
    </xf>
    <xf numFmtId="3" fontId="160" fillId="34" borderId="22" xfId="0" applyNumberFormat="1" applyFont="1" applyFill="1" applyBorder="1" applyAlignment="1">
      <alignment horizontal="center"/>
    </xf>
    <xf numFmtId="3" fontId="160" fillId="34" borderId="24" xfId="0" applyNumberFormat="1" applyFont="1" applyFill="1" applyBorder="1" applyAlignment="1">
      <alignment horizontal="center"/>
    </xf>
    <xf numFmtId="0" fontId="121" fillId="34" borderId="21" xfId="0" applyFont="1" applyFill="1" applyBorder="1" applyAlignment="1">
      <alignment horizontal="right"/>
    </xf>
    <xf numFmtId="0" fontId="59" fillId="0" borderId="21" xfId="0" applyFont="1" applyFill="1" applyBorder="1" applyAlignment="1">
      <alignment horizontal="center"/>
    </xf>
    <xf numFmtId="3" fontId="160" fillId="34" borderId="0" xfId="0" applyNumberFormat="1" applyFont="1" applyFill="1" applyBorder="1" applyAlignment="1">
      <alignment horizontal="center"/>
    </xf>
    <xf numFmtId="166" fontId="59" fillId="41" borderId="28" xfId="0" applyNumberFormat="1" applyFont="1" applyFill="1" applyBorder="1" applyAlignment="1">
      <alignment horizontal="center"/>
    </xf>
    <xf numFmtId="0" fontId="59" fillId="41" borderId="28" xfId="0" applyFont="1" applyFill="1" applyBorder="1" applyAlignment="1">
      <alignment horizontal="right"/>
    </xf>
    <xf numFmtId="3" fontId="59" fillId="41" borderId="28" xfId="0" applyNumberFormat="1" applyFont="1" applyFill="1" applyBorder="1" applyAlignment="1">
      <alignment horizontal="center"/>
    </xf>
    <xf numFmtId="166" fontId="59" fillId="34" borderId="30" xfId="0" applyNumberFormat="1" applyFont="1" applyFill="1" applyBorder="1" applyAlignment="1">
      <alignment horizontal="center"/>
    </xf>
    <xf numFmtId="0" fontId="59" fillId="34" borderId="30" xfId="0" applyFont="1" applyFill="1" applyBorder="1" applyAlignment="1">
      <alignment horizontal="right"/>
    </xf>
    <xf numFmtId="3" fontId="59" fillId="39" borderId="21" xfId="0" applyNumberFormat="1" applyFont="1" applyFill="1" applyBorder="1" applyAlignment="1">
      <alignment horizontal="center"/>
    </xf>
    <xf numFmtId="3" fontId="116" fillId="34" borderId="22" xfId="0" applyNumberFormat="1" applyFont="1" applyFill="1" applyBorder="1" applyAlignment="1">
      <alignment horizontal="center"/>
    </xf>
    <xf numFmtId="3" fontId="116" fillId="34" borderId="24" xfId="0" applyNumberFormat="1" applyFont="1" applyFill="1" applyBorder="1" applyAlignment="1">
      <alignment horizontal="center"/>
    </xf>
    <xf numFmtId="0" fontId="163" fillId="0" borderId="0" xfId="0" applyFont="1" applyFill="1" applyAlignment="1">
      <alignment horizontal="center"/>
    </xf>
    <xf numFmtId="0" fontId="163" fillId="0" borderId="0" xfId="0" applyFont="1" applyFill="1" applyBorder="1" applyAlignment="1">
      <alignment horizontal="center"/>
    </xf>
    <xf numFmtId="166" fontId="160" fillId="34" borderId="21" xfId="0" applyNumberFormat="1" applyFont="1" applyFill="1" applyBorder="1" applyAlignment="1">
      <alignment horizontal="center"/>
    </xf>
    <xf numFmtId="0" fontId="114" fillId="0" borderId="0" xfId="0" applyFont="1" applyFill="1" applyAlignment="1">
      <alignment horizontal="center"/>
    </xf>
    <xf numFmtId="0" fontId="114" fillId="0" borderId="21" xfId="0" applyFont="1" applyFill="1" applyBorder="1" applyAlignment="1">
      <alignment horizontal="center"/>
    </xf>
    <xf numFmtId="166" fontId="121" fillId="0" borderId="21" xfId="0" applyNumberFormat="1" applyFont="1" applyFill="1" applyBorder="1" applyAlignment="1">
      <alignment horizontal="center"/>
    </xf>
    <xf numFmtId="0" fontId="160" fillId="0" borderId="21" xfId="0" applyFont="1" applyFill="1" applyBorder="1" applyAlignment="1">
      <alignment horizontal="right"/>
    </xf>
    <xf numFmtId="3" fontId="160" fillId="0" borderId="21" xfId="0" applyNumberFormat="1" applyFont="1" applyFill="1" applyBorder="1" applyAlignment="1">
      <alignment horizontal="center"/>
    </xf>
    <xf numFmtId="3" fontId="160" fillId="0" borderId="22" xfId="0" applyNumberFormat="1" applyFont="1" applyFill="1" applyBorder="1" applyAlignment="1">
      <alignment horizontal="center"/>
    </xf>
    <xf numFmtId="3" fontId="160" fillId="0" borderId="24" xfId="0" applyNumberFormat="1" applyFont="1" applyFill="1" applyBorder="1" applyAlignment="1">
      <alignment horizontal="center"/>
    </xf>
    <xf numFmtId="0" fontId="160" fillId="34" borderId="28" xfId="0" applyFont="1" applyFill="1" applyBorder="1" applyAlignment="1">
      <alignment horizontal="right"/>
    </xf>
    <xf numFmtId="3" fontId="160" fillId="34" borderId="28" xfId="0" applyNumberFormat="1" applyFont="1" applyFill="1" applyBorder="1" applyAlignment="1">
      <alignment horizontal="center"/>
    </xf>
    <xf numFmtId="0" fontId="59" fillId="34" borderId="28" xfId="0" applyFont="1" applyFill="1" applyBorder="1" applyAlignment="1">
      <alignment horizontal="right"/>
    </xf>
    <xf numFmtId="3" fontId="59" fillId="34" borderId="28" xfId="0" applyNumberFormat="1" applyFont="1" applyFill="1" applyBorder="1" applyAlignment="1">
      <alignment horizontal="center"/>
    </xf>
    <xf numFmtId="0" fontId="160" fillId="34" borderId="30" xfId="0" applyFont="1" applyFill="1" applyBorder="1" applyAlignment="1">
      <alignment horizontal="right"/>
    </xf>
    <xf numFmtId="3" fontId="59" fillId="34" borderId="30" xfId="0" applyNumberFormat="1" applyFont="1" applyFill="1" applyBorder="1" applyAlignment="1">
      <alignment horizontal="center"/>
    </xf>
    <xf numFmtId="166" fontId="163" fillId="34" borderId="21" xfId="0" applyNumberFormat="1" applyFont="1" applyFill="1" applyBorder="1" applyAlignment="1">
      <alignment horizontal="center"/>
    </xf>
    <xf numFmtId="3" fontId="162" fillId="34" borderId="21" xfId="0" applyNumberFormat="1" applyFont="1" applyFill="1" applyBorder="1" applyAlignment="1">
      <alignment horizontal="center"/>
    </xf>
    <xf numFmtId="3" fontId="162" fillId="34" borderId="0" xfId="0" applyNumberFormat="1" applyFont="1" applyFill="1" applyBorder="1" applyAlignment="1">
      <alignment horizontal="center"/>
    </xf>
    <xf numFmtId="166" fontId="114" fillId="34" borderId="21" xfId="0" applyNumberFormat="1" applyFont="1" applyFill="1" applyBorder="1" applyAlignment="1">
      <alignment horizontal="center"/>
    </xf>
    <xf numFmtId="3" fontId="59" fillId="35" borderId="21" xfId="46" applyNumberFormat="1" applyFont="1" applyFill="1" applyBorder="1" applyAlignment="1">
      <alignment horizontal="center"/>
    </xf>
    <xf numFmtId="0" fontId="122" fillId="34" borderId="21" xfId="0" applyFont="1" applyFill="1" applyBorder="1" applyAlignment="1">
      <alignment horizontal="right"/>
    </xf>
    <xf numFmtId="166" fontId="59" fillId="34" borderId="0" xfId="0" applyNumberFormat="1" applyFont="1" applyFill="1" applyBorder="1" applyAlignment="1">
      <alignment horizontal="center"/>
    </xf>
    <xf numFmtId="0" fontId="164" fillId="34" borderId="0" xfId="0" applyFont="1" applyFill="1" applyBorder="1" applyAlignment="1">
      <alignment horizontal="right"/>
    </xf>
    <xf numFmtId="3" fontId="164" fillId="34" borderId="0" xfId="0" applyNumberFormat="1" applyFont="1" applyFill="1" applyBorder="1" applyAlignment="1">
      <alignment horizontal="center"/>
    </xf>
    <xf numFmtId="0" fontId="164" fillId="34" borderId="0" xfId="0" applyFont="1" applyFill="1" applyBorder="1" applyAlignment="1">
      <alignment horizontal="center"/>
    </xf>
    <xf numFmtId="0" fontId="164" fillId="0" borderId="0" xfId="0" applyFont="1" applyFill="1" applyAlignment="1">
      <alignment horizontal="center"/>
    </xf>
    <xf numFmtId="3" fontId="164" fillId="0" borderId="0" xfId="0" applyNumberFormat="1" applyFont="1" applyFill="1" applyAlignment="1">
      <alignment horizontal="center"/>
    </xf>
    <xf numFmtId="0" fontId="59" fillId="3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12" fillId="0" borderId="20" xfId="0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16" fontId="64" fillId="0" borderId="20" xfId="0" applyNumberFormat="1" applyFont="1" applyBorder="1" applyAlignment="1">
      <alignment horizontal="center" vertical="center" wrapText="1"/>
    </xf>
    <xf numFmtId="16" fontId="64" fillId="0" borderId="0" xfId="0" applyNumberFormat="1" applyFont="1" applyBorder="1" applyAlignment="1">
      <alignment horizontal="center" vertical="center" wrapText="1"/>
    </xf>
    <xf numFmtId="16" fontId="64" fillId="0" borderId="19" xfId="0" applyNumberFormat="1" applyFont="1" applyBorder="1" applyAlignment="1">
      <alignment horizontal="center" vertical="center" wrapText="1"/>
    </xf>
    <xf numFmtId="0" fontId="35" fillId="0" borderId="22" xfId="79" applyFont="1" applyBorder="1" applyAlignment="1">
      <alignment horizontal="center"/>
    </xf>
    <xf numFmtId="0" fontId="35" fillId="0" borderId="23" xfId="79" applyFont="1" applyBorder="1" applyAlignment="1">
      <alignment horizontal="center"/>
    </xf>
    <xf numFmtId="0" fontId="35" fillId="0" borderId="24" xfId="79" applyFont="1" applyBorder="1" applyAlignment="1">
      <alignment horizontal="center"/>
    </xf>
    <xf numFmtId="0" fontId="10" fillId="0" borderId="22" xfId="79" applyFont="1" applyFill="1" applyBorder="1" applyAlignment="1">
      <alignment horizontal="right" vertical="center" wrapText="1"/>
    </xf>
    <xf numFmtId="0" fontId="10" fillId="0" borderId="23" xfId="79" applyFont="1" applyFill="1" applyBorder="1" applyAlignment="1">
      <alignment horizontal="right" vertical="center" wrapText="1"/>
    </xf>
    <xf numFmtId="0" fontId="10" fillId="0" borderId="24" xfId="79" applyFont="1" applyFill="1" applyBorder="1" applyAlignment="1">
      <alignment horizontal="right" vertical="center" wrapText="1"/>
    </xf>
    <xf numFmtId="0" fontId="35" fillId="0" borderId="76" xfId="79" applyFont="1" applyFill="1" applyBorder="1" applyAlignment="1">
      <alignment horizontal="center"/>
    </xf>
    <xf numFmtId="0" fontId="35" fillId="0" borderId="0" xfId="79" applyFont="1" applyFill="1" applyBorder="1" applyAlignment="1">
      <alignment horizontal="center"/>
    </xf>
    <xf numFmtId="0" fontId="10" fillId="0" borderId="76" xfId="79" applyFont="1" applyFill="1" applyBorder="1" applyAlignment="1">
      <alignment horizontal="center" wrapText="1"/>
    </xf>
    <xf numFmtId="0" fontId="10" fillId="0" borderId="0" xfId="79" applyFont="1" applyFill="1" applyBorder="1" applyAlignment="1">
      <alignment horizontal="center" wrapText="1"/>
    </xf>
    <xf numFmtId="0" fontId="35" fillId="35" borderId="22" xfId="79" applyFont="1" applyFill="1" applyBorder="1" applyAlignment="1">
      <alignment horizontal="center"/>
    </xf>
    <xf numFmtId="0" fontId="35" fillId="35" borderId="23" xfId="79" applyFont="1" applyFill="1" applyBorder="1" applyAlignment="1">
      <alignment horizontal="center"/>
    </xf>
    <xf numFmtId="0" fontId="35" fillId="35" borderId="24" xfId="79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/>
    </xf>
    <xf numFmtId="0" fontId="35" fillId="0" borderId="76" xfId="79" applyFont="1" applyBorder="1" applyAlignment="1">
      <alignment horizontal="center"/>
    </xf>
    <xf numFmtId="0" fontId="35" fillId="0" borderId="0" xfId="79" applyFont="1" applyBorder="1" applyAlignment="1">
      <alignment horizontal="center"/>
    </xf>
    <xf numFmtId="0" fontId="10" fillId="0" borderId="76" xfId="79" applyFont="1" applyBorder="1" applyAlignment="1">
      <alignment horizontal="center" wrapText="1"/>
    </xf>
    <xf numFmtId="0" fontId="10" fillId="0" borderId="0" xfId="79" applyFont="1" applyBorder="1" applyAlignment="1">
      <alignment horizontal="center" wrapText="1"/>
    </xf>
    <xf numFmtId="0" fontId="83" fillId="0" borderId="21" xfId="77" applyFont="1" applyBorder="1" applyAlignment="1">
      <alignment horizontal="center" vertical="center" wrapText="1"/>
    </xf>
    <xf numFmtId="0" fontId="83" fillId="0" borderId="21" xfId="77" applyFont="1" applyFill="1" applyBorder="1" applyAlignment="1">
      <alignment horizontal="center" vertical="center" wrapText="1"/>
    </xf>
    <xf numFmtId="0" fontId="83" fillId="0" borderId="22" xfId="77" applyFont="1" applyFill="1" applyBorder="1" applyAlignment="1">
      <alignment horizontal="center" vertical="center"/>
    </xf>
    <xf numFmtId="0" fontId="83" fillId="0" borderId="23" xfId="77" applyFont="1" applyFill="1" applyBorder="1" applyAlignment="1">
      <alignment horizontal="center" vertical="center"/>
    </xf>
    <xf numFmtId="0" fontId="83" fillId="0" borderId="24" xfId="77" applyFont="1" applyFill="1" applyBorder="1" applyAlignment="1">
      <alignment horizontal="center" vertical="center"/>
    </xf>
    <xf numFmtId="0" fontId="83" fillId="0" borderId="70" xfId="77" applyFont="1" applyBorder="1" applyAlignment="1">
      <alignment horizontal="center" vertical="center" wrapText="1"/>
    </xf>
    <xf numFmtId="0" fontId="83" fillId="0" borderId="26" xfId="77" applyFont="1" applyBorder="1" applyAlignment="1">
      <alignment horizontal="center" vertical="center" wrapText="1"/>
    </xf>
    <xf numFmtId="0" fontId="83" fillId="0" borderId="78" xfId="77" applyFont="1" applyBorder="1" applyAlignment="1">
      <alignment horizontal="center" vertical="center" wrapText="1"/>
    </xf>
    <xf numFmtId="0" fontId="83" fillId="0" borderId="76" xfId="77" applyFont="1" applyBorder="1" applyAlignment="1">
      <alignment horizontal="center" vertical="center" wrapText="1"/>
    </xf>
    <xf numFmtId="0" fontId="83" fillId="0" borderId="0" xfId="77" applyFont="1" applyBorder="1" applyAlignment="1">
      <alignment horizontal="center" vertical="center" wrapText="1"/>
    </xf>
    <xf numFmtId="0" fontId="83" fillId="0" borderId="79" xfId="77" applyFont="1" applyBorder="1" applyAlignment="1">
      <alignment horizontal="center" vertical="center" wrapText="1"/>
    </xf>
    <xf numFmtId="0" fontId="83" fillId="0" borderId="64" xfId="77" applyFont="1" applyBorder="1" applyAlignment="1">
      <alignment horizontal="center" vertical="center" wrapText="1"/>
    </xf>
    <xf numFmtId="0" fontId="83" fillId="0" borderId="25" xfId="77" applyFont="1" applyBorder="1" applyAlignment="1">
      <alignment horizontal="center" vertical="center" wrapText="1"/>
    </xf>
    <xf numFmtId="0" fontId="83" fillId="0" borderId="65" xfId="77" applyFont="1" applyBorder="1" applyAlignment="1">
      <alignment horizontal="center" vertical="center" wrapText="1"/>
    </xf>
    <xf numFmtId="0" fontId="83" fillId="0" borderId="21" xfId="77" applyFont="1" applyBorder="1" applyAlignment="1">
      <alignment horizontal="center" vertical="center"/>
    </xf>
    <xf numFmtId="0" fontId="83" fillId="0" borderId="21" xfId="77" applyFont="1" applyBorder="1" applyAlignment="1">
      <alignment vertical="center"/>
    </xf>
    <xf numFmtId="0" fontId="84" fillId="0" borderId="21" xfId="77" applyFont="1" applyBorder="1" applyAlignment="1">
      <alignment vertical="center"/>
    </xf>
    <xf numFmtId="0" fontId="83" fillId="31" borderId="21" xfId="77" applyFont="1" applyFill="1" applyBorder="1" applyAlignment="1">
      <alignment horizontal="center" vertical="center" wrapText="1"/>
    </xf>
    <xf numFmtId="0" fontId="83" fillId="0" borderId="21" xfId="77" applyFont="1" applyBorder="1" applyAlignment="1">
      <alignment horizontal="right" vertical="center"/>
    </xf>
    <xf numFmtId="0" fontId="84" fillId="0" borderId="21" xfId="77" applyFont="1" applyFill="1" applyBorder="1" applyAlignment="1">
      <alignment horizontal="center" vertical="center"/>
    </xf>
    <xf numFmtId="0" fontId="83" fillId="0" borderId="21" xfId="77" applyFont="1" applyFill="1" applyBorder="1" applyAlignment="1">
      <alignment horizontal="center" vertical="center"/>
    </xf>
    <xf numFmtId="0" fontId="67" fillId="0" borderId="22" xfId="77" applyFont="1" applyBorder="1" applyAlignment="1">
      <alignment horizontal="center"/>
    </xf>
    <xf numFmtId="0" fontId="67" fillId="0" borderId="23" xfId="77" applyFont="1" applyBorder="1" applyAlignment="1">
      <alignment horizontal="center"/>
    </xf>
    <xf numFmtId="0" fontId="67" fillId="0" borderId="24" xfId="77" applyFont="1" applyBorder="1" applyAlignment="1">
      <alignment horizontal="center"/>
    </xf>
    <xf numFmtId="0" fontId="84" fillId="0" borderId="21" xfId="77" applyFont="1" applyBorder="1" applyAlignment="1">
      <alignment horizontal="center" vertical="center"/>
    </xf>
    <xf numFmtId="0" fontId="83" fillId="0" borderId="22" xfId="77" applyFont="1" applyBorder="1" applyAlignment="1">
      <alignment horizontal="right" vertical="center"/>
    </xf>
    <xf numFmtId="0" fontId="83" fillId="0" borderId="23" xfId="77" applyFont="1" applyBorder="1" applyAlignment="1">
      <alignment horizontal="right" vertical="center"/>
    </xf>
    <xf numFmtId="0" fontId="83" fillId="0" borderId="24" xfId="77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5" fillId="0" borderId="21" xfId="79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51" fillId="0" borderId="0" xfId="0" applyNumberFormat="1" applyFont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6" xfId="0" applyNumberFormat="1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Alignment="1"/>
    <xf numFmtId="0" fontId="67" fillId="0" borderId="0" xfId="77" applyFont="1" applyBorder="1" applyAlignment="1">
      <alignment horizontal="center"/>
    </xf>
    <xf numFmtId="0" fontId="35" fillId="0" borderId="22" xfId="79" applyFont="1" applyBorder="1" applyAlignment="1">
      <alignment horizontal="center" vertical="center"/>
    </xf>
    <xf numFmtId="0" fontId="35" fillId="0" borderId="23" xfId="79" applyFont="1" applyBorder="1" applyAlignment="1">
      <alignment horizontal="center" vertical="center"/>
    </xf>
    <xf numFmtId="0" fontId="35" fillId="0" borderId="24" xfId="79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0" xfId="81" applyFont="1" applyBorder="1" applyAlignment="1">
      <alignment horizontal="center"/>
    </xf>
    <xf numFmtId="0" fontId="11" fillId="0" borderId="21" xfId="81" applyFont="1" applyBorder="1" applyAlignment="1">
      <alignment horizontal="center" vertical="center" wrapText="1" readingOrder="2"/>
    </xf>
    <xf numFmtId="0" fontId="10" fillId="0" borderId="22" xfId="81" applyFont="1" applyBorder="1" applyAlignment="1">
      <alignment horizontal="center"/>
    </xf>
    <xf numFmtId="0" fontId="10" fillId="0" borderId="23" xfId="81" applyFont="1" applyBorder="1" applyAlignment="1">
      <alignment horizontal="center"/>
    </xf>
    <xf numFmtId="0" fontId="10" fillId="0" borderId="24" xfId="81" applyFont="1" applyBorder="1" applyAlignment="1">
      <alignment horizontal="center"/>
    </xf>
    <xf numFmtId="0" fontId="11" fillId="0" borderId="0" xfId="81" applyFont="1" applyAlignment="1">
      <alignment horizontal="right" vertical="center" wrapText="1"/>
    </xf>
    <xf numFmtId="0" fontId="10" fillId="0" borderId="22" xfId="76" applyFont="1" applyFill="1" applyBorder="1" applyAlignment="1">
      <alignment horizontal="right" vertical="center"/>
    </xf>
    <xf numFmtId="0" fontId="10" fillId="0" borderId="23" xfId="76" applyFont="1" applyFill="1" applyBorder="1" applyAlignment="1">
      <alignment horizontal="right" vertical="center"/>
    </xf>
    <xf numFmtId="0" fontId="4" fillId="0" borderId="22" xfId="76" applyFont="1" applyFill="1" applyBorder="1" applyAlignment="1">
      <alignment horizontal="center" vertical="center"/>
    </xf>
    <xf numFmtId="0" fontId="4" fillId="0" borderId="23" xfId="76" applyFont="1" applyFill="1" applyBorder="1" applyAlignment="1">
      <alignment horizontal="center" vertical="center"/>
    </xf>
    <xf numFmtId="0" fontId="10" fillId="35" borderId="21" xfId="76" applyFont="1" applyFill="1" applyBorder="1" applyAlignment="1">
      <alignment horizontal="center"/>
    </xf>
    <xf numFmtId="0" fontId="52" fillId="0" borderId="0" xfId="0" applyFont="1" applyAlignment="1">
      <alignment horizontal="center" readingOrder="2"/>
    </xf>
    <xf numFmtId="0" fontId="46" fillId="0" borderId="0" xfId="0" applyFont="1" applyAlignment="1">
      <alignment horizontal="justify" wrapText="1" readingOrder="2"/>
    </xf>
    <xf numFmtId="0" fontId="54" fillId="0" borderId="0" xfId="0" applyFont="1" applyAlignment="1">
      <alignment horizontal="justify" wrapText="1" readingOrder="2"/>
    </xf>
    <xf numFmtId="0" fontId="46" fillId="0" borderId="22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55" fillId="0" borderId="22" xfId="0" applyFont="1" applyBorder="1" applyAlignment="1">
      <alignment horizontal="center" readingOrder="2"/>
    </xf>
    <xf numFmtId="0" fontId="55" fillId="0" borderId="23" xfId="0" applyFont="1" applyBorder="1" applyAlignment="1">
      <alignment horizontal="center" readingOrder="2"/>
    </xf>
    <xf numFmtId="0" fontId="55" fillId="0" borderId="24" xfId="0" applyFont="1" applyBorder="1" applyAlignment="1">
      <alignment horizontal="center" readingOrder="2"/>
    </xf>
    <xf numFmtId="0" fontId="46" fillId="0" borderId="22" xfId="0" applyFont="1" applyBorder="1" applyAlignment="1">
      <alignment horizontal="center" readingOrder="2"/>
    </xf>
    <xf numFmtId="0" fontId="46" fillId="0" borderId="23" xfId="0" applyFont="1" applyBorder="1" applyAlignment="1">
      <alignment horizontal="center" readingOrder="2"/>
    </xf>
    <xf numFmtId="0" fontId="46" fillId="0" borderId="24" xfId="0" applyFont="1" applyBorder="1" applyAlignment="1">
      <alignment horizontal="center" readingOrder="2"/>
    </xf>
    <xf numFmtId="0" fontId="46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46" fillId="0" borderId="0" xfId="0" applyFont="1" applyAlignment="1">
      <alignment horizontal="center" readingOrder="2"/>
    </xf>
    <xf numFmtId="0" fontId="46" fillId="0" borderId="0" xfId="0" applyFont="1" applyAlignment="1">
      <alignment horizontal="right" readingOrder="2"/>
    </xf>
    <xf numFmtId="0" fontId="50" fillId="0" borderId="0" xfId="0" applyFont="1" applyAlignment="1">
      <alignment horizontal="center" readingOrder="2"/>
    </xf>
    <xf numFmtId="0" fontId="46" fillId="0" borderId="25" xfId="0" applyFont="1" applyBorder="1" applyAlignment="1">
      <alignment horizontal="justify" wrapText="1" readingOrder="2"/>
    </xf>
    <xf numFmtId="0" fontId="55" fillId="0" borderId="0" xfId="0" applyFont="1" applyAlignment="1">
      <alignment horizontal="center" readingOrder="2"/>
    </xf>
    <xf numFmtId="0" fontId="50" fillId="0" borderId="0" xfId="0" applyFont="1" applyAlignment="1">
      <alignment horizontal="right" readingOrder="2"/>
    </xf>
    <xf numFmtId="0" fontId="46" fillId="0" borderId="21" xfId="0" applyFont="1" applyBorder="1" applyAlignment="1">
      <alignment horizontal="center" readingOrder="2"/>
    </xf>
    <xf numFmtId="3" fontId="46" fillId="0" borderId="22" xfId="0" applyNumberFormat="1" applyFont="1" applyBorder="1" applyAlignment="1">
      <alignment horizontal="center"/>
    </xf>
    <xf numFmtId="3" fontId="46" fillId="0" borderId="24" xfId="0" applyNumberFormat="1" applyFont="1" applyBorder="1" applyAlignment="1">
      <alignment horizontal="center"/>
    </xf>
    <xf numFmtId="3" fontId="55" fillId="0" borderId="22" xfId="0" applyNumberFormat="1" applyFont="1" applyBorder="1" applyAlignment="1">
      <alignment horizontal="center"/>
    </xf>
    <xf numFmtId="3" fontId="55" fillId="0" borderId="24" xfId="0" applyNumberFormat="1" applyFont="1" applyBorder="1" applyAlignment="1">
      <alignment horizontal="center"/>
    </xf>
    <xf numFmtId="0" fontId="46" fillId="0" borderId="0" xfId="0" applyFont="1" applyAlignment="1">
      <alignment horizontal="right" wrapText="1" readingOrder="2"/>
    </xf>
    <xf numFmtId="0" fontId="35" fillId="0" borderId="32" xfId="79" applyFont="1" applyBorder="1" applyAlignment="1">
      <alignment horizontal="center"/>
    </xf>
    <xf numFmtId="0" fontId="35" fillId="0" borderId="77" xfId="79" applyFont="1" applyBorder="1" applyAlignment="1">
      <alignment horizontal="center"/>
    </xf>
    <xf numFmtId="0" fontId="35" fillId="0" borderId="41" xfId="79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50" fillId="0" borderId="77" xfId="0" applyFont="1" applyBorder="1" applyAlignment="1">
      <alignment horizontal="center"/>
    </xf>
    <xf numFmtId="0" fontId="50" fillId="0" borderId="4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7" fillId="33" borderId="32" xfId="0" applyFont="1" applyFill="1" applyBorder="1" applyAlignment="1">
      <alignment horizontal="center"/>
    </xf>
    <xf numFmtId="0" fontId="7" fillId="33" borderId="77" xfId="0" applyFont="1" applyFill="1" applyBorder="1" applyAlignment="1">
      <alignment horizontal="center"/>
    </xf>
    <xf numFmtId="0" fontId="7" fillId="33" borderId="41" xfId="0" applyFont="1" applyFill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25" borderId="32" xfId="0" applyFont="1" applyFill="1" applyBorder="1" applyAlignment="1">
      <alignment horizontal="center"/>
    </xf>
    <xf numFmtId="0" fontId="11" fillId="25" borderId="77" xfId="0" applyFont="1" applyFill="1" applyBorder="1" applyAlignment="1">
      <alignment horizontal="center"/>
    </xf>
    <xf numFmtId="0" fontId="11" fillId="25" borderId="41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60" fillId="0" borderId="32" xfId="0" applyFont="1" applyBorder="1" applyAlignment="1">
      <alignment horizontal="center"/>
    </xf>
    <xf numFmtId="0" fontId="60" fillId="0" borderId="77" xfId="0" applyFont="1" applyBorder="1" applyAlignment="1">
      <alignment horizontal="center"/>
    </xf>
    <xf numFmtId="0" fontId="60" fillId="0" borderId="41" xfId="0" applyFont="1" applyBorder="1" applyAlignment="1">
      <alignment horizontal="center"/>
    </xf>
    <xf numFmtId="0" fontId="55" fillId="0" borderId="32" xfId="0" applyFont="1" applyBorder="1" applyAlignment="1">
      <alignment horizontal="center"/>
    </xf>
    <xf numFmtId="0" fontId="55" fillId="0" borderId="77" xfId="0" applyFont="1" applyBorder="1" applyAlignment="1">
      <alignment horizontal="center"/>
    </xf>
    <xf numFmtId="0" fontId="55" fillId="0" borderId="41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60" fillId="0" borderId="32" xfId="0" applyFont="1" applyBorder="1" applyAlignment="1">
      <alignment horizontal="center" wrapText="1"/>
    </xf>
    <xf numFmtId="0" fontId="60" fillId="0" borderId="77" xfId="0" applyFont="1" applyBorder="1" applyAlignment="1">
      <alignment horizontal="center" wrapText="1"/>
    </xf>
    <xf numFmtId="0" fontId="60" fillId="0" borderId="41" xfId="0" applyFont="1" applyBorder="1" applyAlignment="1">
      <alignment horizontal="center" wrapText="1"/>
    </xf>
    <xf numFmtId="0" fontId="71" fillId="0" borderId="32" xfId="0" applyFont="1" applyFill="1" applyBorder="1" applyAlignment="1">
      <alignment horizontal="center" vertical="top"/>
    </xf>
    <xf numFmtId="0" fontId="71" fillId="0" borderId="77" xfId="0" applyFont="1" applyFill="1" applyBorder="1" applyAlignment="1">
      <alignment horizontal="center" vertical="top"/>
    </xf>
    <xf numFmtId="0" fontId="71" fillId="0" borderId="41" xfId="0" applyFont="1" applyFill="1" applyBorder="1" applyAlignment="1">
      <alignment horizontal="center" vertical="top"/>
    </xf>
    <xf numFmtId="0" fontId="70" fillId="0" borderId="32" xfId="0" applyFont="1" applyFill="1" applyBorder="1" applyAlignment="1">
      <alignment horizontal="center" vertical="top"/>
    </xf>
    <xf numFmtId="0" fontId="70" fillId="0" borderId="77" xfId="0" applyFont="1" applyFill="1" applyBorder="1" applyAlignment="1">
      <alignment horizontal="center" vertical="top"/>
    </xf>
    <xf numFmtId="0" fontId="70" fillId="0" borderId="41" xfId="0" applyFont="1" applyFill="1" applyBorder="1" applyAlignment="1">
      <alignment horizontal="center" vertical="top"/>
    </xf>
    <xf numFmtId="0" fontId="60" fillId="34" borderId="21" xfId="76" applyFont="1" applyFill="1" applyBorder="1" applyAlignment="1">
      <alignment horizontal="right" vertical="top"/>
    </xf>
    <xf numFmtId="0" fontId="61" fillId="0" borderId="22" xfId="76" applyFont="1" applyFill="1" applyBorder="1" applyAlignment="1">
      <alignment horizontal="center" vertical="top"/>
    </xf>
    <xf numFmtId="0" fontId="61" fillId="0" borderId="23" xfId="76" applyFont="1" applyFill="1" applyBorder="1" applyAlignment="1">
      <alignment horizontal="center" vertical="top"/>
    </xf>
    <xf numFmtId="0" fontId="61" fillId="0" borderId="24" xfId="76" applyFont="1" applyFill="1" applyBorder="1" applyAlignment="1">
      <alignment horizontal="center" vertical="top"/>
    </xf>
    <xf numFmtId="0" fontId="60" fillId="40" borderId="21" xfId="76" applyFont="1" applyFill="1" applyBorder="1" applyAlignment="1">
      <alignment horizontal="right" vertical="top"/>
    </xf>
    <xf numFmtId="49" fontId="10" fillId="34" borderId="21" xfId="76" applyNumberFormat="1" applyFont="1" applyFill="1" applyBorder="1" applyAlignment="1">
      <alignment horizontal="center" vertical="top" wrapText="1"/>
    </xf>
    <xf numFmtId="0" fontId="51" fillId="0" borderId="0" xfId="0" applyFont="1" applyFill="1" applyBorder="1" applyAlignment="1">
      <alignment horizontal="center" vertical="top"/>
    </xf>
    <xf numFmtId="0" fontId="106" fillId="0" borderId="25" xfId="0" applyFont="1" applyFill="1" applyBorder="1" applyAlignment="1">
      <alignment horizontal="center" vertical="top"/>
    </xf>
    <xf numFmtId="0" fontId="51" fillId="0" borderId="76" xfId="0" applyFont="1" applyFill="1" applyBorder="1" applyAlignment="1">
      <alignment horizontal="center" vertical="top"/>
    </xf>
    <xf numFmtId="0" fontId="11" fillId="0" borderId="64" xfId="0" applyFont="1" applyFill="1" applyBorder="1" applyAlignment="1">
      <alignment horizontal="center" vertical="top"/>
    </xf>
    <xf numFmtId="0" fontId="11" fillId="0" borderId="25" xfId="0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06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24" xfId="0" applyFont="1" applyBorder="1" applyAlignment="1">
      <alignment horizontal="center"/>
    </xf>
  </cellXfs>
  <cellStyles count="16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הדגשה1" xfId="7"/>
    <cellStyle name="20% - הדגשה1 2" xfId="121"/>
    <cellStyle name="20% - הדגשה2" xfId="8"/>
    <cellStyle name="20% - הדגשה2 2" xfId="122"/>
    <cellStyle name="20% - הדגשה3" xfId="9"/>
    <cellStyle name="20% - הדגשה3 2" xfId="123"/>
    <cellStyle name="20% - הדגשה4" xfId="10"/>
    <cellStyle name="20% - הדגשה4 2" xfId="124"/>
    <cellStyle name="20% - הדגשה5" xfId="11"/>
    <cellStyle name="20% - הדגשה5 2" xfId="125"/>
    <cellStyle name="20% - הדגשה6" xfId="12"/>
    <cellStyle name="20% - הדגשה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" xfId="19"/>
    <cellStyle name="40% - הדגשה1 2" xfId="127"/>
    <cellStyle name="40% - הדגשה2" xfId="20"/>
    <cellStyle name="40% - הדגשה2 2" xfId="128"/>
    <cellStyle name="40% - הדגשה3" xfId="21"/>
    <cellStyle name="40% - הדגשה3 2" xfId="129"/>
    <cellStyle name="40% - הדגשה4" xfId="22"/>
    <cellStyle name="40% - הדגשה4 2" xfId="130"/>
    <cellStyle name="40% - הדגשה5" xfId="23"/>
    <cellStyle name="40% - הדגשה5 2" xfId="131"/>
    <cellStyle name="40% - הדגשה6" xfId="24"/>
    <cellStyle name="40% - הדגשה6 2" xfId="132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הדגשה1" xfId="31"/>
    <cellStyle name="60% - הדגשה1 2" xfId="133"/>
    <cellStyle name="60% - הדגשה2" xfId="32"/>
    <cellStyle name="60% - הדגשה2 2" xfId="134"/>
    <cellStyle name="60% - הדגשה3" xfId="33"/>
    <cellStyle name="60% - הדגשה3 2" xfId="135"/>
    <cellStyle name="60% - הדגשה4" xfId="34"/>
    <cellStyle name="60% - הדגשה4 2" xfId="136"/>
    <cellStyle name="60% - הדגשה5" xfId="35"/>
    <cellStyle name="60% - הדגשה5 2" xfId="137"/>
    <cellStyle name="60% - הדגשה6" xfId="36"/>
    <cellStyle name="60% - הדגשה6 2" xfId="13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" xfId="46" builtinId="3"/>
    <cellStyle name="Comma 2" xfId="47"/>
    <cellStyle name="Comma 2 2" xfId="48"/>
    <cellStyle name="Comma 2 2 2" xfId="119"/>
    <cellStyle name="ComputedField" xfId="49"/>
    <cellStyle name="ComputedFieldPercent" xfId="50"/>
    <cellStyle name="Explanatory Text" xfId="51"/>
    <cellStyle name="GeneralBackground" xfId="52"/>
    <cellStyle name="Good" xfId="53"/>
    <cellStyle name="GrandTotal" xfId="54"/>
    <cellStyle name="Heading 1" xfId="55"/>
    <cellStyle name="Heading 2" xfId="56"/>
    <cellStyle name="Heading 3" xfId="57"/>
    <cellStyle name="Heading 4" xfId="58"/>
    <cellStyle name="Input" xfId="59"/>
    <cellStyle name="InputField" xfId="60"/>
    <cellStyle name="insiteTable" xfId="61"/>
    <cellStyle name="insiteTableHeader" xfId="62"/>
    <cellStyle name="insiteTableLeft" xfId="63"/>
    <cellStyle name="insiteTableRight" xfId="64"/>
    <cellStyle name="insiteTableSubTitle" xfId="65"/>
    <cellStyle name="insiteTitleBold" xfId="66"/>
    <cellStyle name="Linked Cell" xfId="67"/>
    <cellStyle name="LogoHeader" xfId="68"/>
    <cellStyle name="LogoHeader_דוח חשב חודשי" xfId="69"/>
    <cellStyle name="Neutral" xfId="70"/>
    <cellStyle name="Normal" xfId="0" builtinId="0"/>
    <cellStyle name="Normal 2" xfId="71"/>
    <cellStyle name="Normal 3" xfId="72"/>
    <cellStyle name="Normal 3_תקציב תוכנית הבראה 2014" xfId="73"/>
    <cellStyle name="Normal 4" xfId="74"/>
    <cellStyle name="Normal 5" xfId="75"/>
    <cellStyle name="Normal 6" xfId="76"/>
    <cellStyle name="Normal 7" xfId="117"/>
    <cellStyle name="Normal 7 2" xfId="118"/>
    <cellStyle name="Normal 8" xfId="120"/>
    <cellStyle name="Normal_דוח דן יוני 2006" xfId="77"/>
    <cellStyle name="Normal_הכנסות (2) 2_תקציב עוספיה 2012 פאיז 2" xfId="78"/>
    <cellStyle name="Normal_רבעון 3 2005 - חשב" xfId="79"/>
    <cellStyle name="Normal_תקציב 1999 (2) 2_תקציב עוספיה 2012 פאיז 2" xfId="80"/>
    <cellStyle name="Normal_תקציב 2007 טבלאות" xfId="81"/>
    <cellStyle name="Note" xfId="82"/>
    <cellStyle name="Output" xfId="83"/>
    <cellStyle name="outsiteTable" xfId="84"/>
    <cellStyle name="outsiteTableLeft" xfId="85"/>
    <cellStyle name="SubTotalSum" xfId="86"/>
    <cellStyle name="SubTotalSumPer" xfId="87"/>
    <cellStyle name="Title" xfId="88"/>
    <cellStyle name="Total" xfId="89"/>
    <cellStyle name="Warning Text" xfId="90"/>
    <cellStyle name="הדגשה1" xfId="91"/>
    <cellStyle name="הדגשה1 2" xfId="139"/>
    <cellStyle name="הדגשה2" xfId="92"/>
    <cellStyle name="הדגשה2 2" xfId="140"/>
    <cellStyle name="הדגשה3" xfId="93"/>
    <cellStyle name="הדגשה3 2" xfId="141"/>
    <cellStyle name="הדגשה4" xfId="94"/>
    <cellStyle name="הדגשה4 2" xfId="142"/>
    <cellStyle name="הדגשה5" xfId="95"/>
    <cellStyle name="הדגשה5 2" xfId="143"/>
    <cellStyle name="הדגשה6" xfId="96"/>
    <cellStyle name="הדגשה6 2" xfId="144"/>
    <cellStyle name="הערה" xfId="97"/>
    <cellStyle name="הערה 2" xfId="98"/>
    <cellStyle name="הערה 3" xfId="145"/>
    <cellStyle name="הערה_תוכנית הבראה סופית עוספיה 2012" xfId="99"/>
    <cellStyle name="חישוב" xfId="100"/>
    <cellStyle name="חישוב 2" xfId="146"/>
    <cellStyle name="טוב" xfId="101"/>
    <cellStyle name="טוב 2" xfId="147"/>
    <cellStyle name="טקסט אזהרה" xfId="102"/>
    <cellStyle name="טקסט אזהרה 2" xfId="148"/>
    <cellStyle name="טקסט הסברי" xfId="103"/>
    <cellStyle name="טקסט הסברי 2" xfId="149"/>
    <cellStyle name="כותרת" xfId="104"/>
    <cellStyle name="כותרת 1" xfId="105"/>
    <cellStyle name="כותרת 1 2" xfId="151"/>
    <cellStyle name="כותרת 2" xfId="106"/>
    <cellStyle name="כותרת 2 2" xfId="152"/>
    <cellStyle name="כותרת 3" xfId="107"/>
    <cellStyle name="כותרת 3 2" xfId="153"/>
    <cellStyle name="כותרת 4" xfId="108"/>
    <cellStyle name="כותרת 4 2" xfId="154"/>
    <cellStyle name="כותרת 5" xfId="150"/>
    <cellStyle name="כותרת דף" xfId="109"/>
    <cellStyle name="ניטראלי" xfId="110"/>
    <cellStyle name="ניטראלי 2" xfId="155"/>
    <cellStyle name="סה&quot;כ" xfId="111"/>
    <cellStyle name="סה&quot;כ 2" xfId="156"/>
    <cellStyle name="פלט" xfId="112"/>
    <cellStyle name="פלט 2" xfId="157"/>
    <cellStyle name="קלט" xfId="113"/>
    <cellStyle name="קלט 2" xfId="158"/>
    <cellStyle name="רע" xfId="114"/>
    <cellStyle name="רע 2" xfId="159"/>
    <cellStyle name="תא מסומן" xfId="115"/>
    <cellStyle name="תא מסומן 2" xfId="160"/>
    <cellStyle name="תא מקושר" xfId="116"/>
    <cellStyle name="תא מקושר 2" xfId="16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0</xdr:rowOff>
    </xdr:from>
    <xdr:to>
      <xdr:col>8</xdr:col>
      <xdr:colOff>438150</xdr:colOff>
      <xdr:row>0</xdr:row>
      <xdr:rowOff>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961725" y="933450"/>
          <a:ext cx="302895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Daliat El Carmel Local Municipality</a:t>
          </a: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47625</xdr:colOff>
      <xdr:row>1</xdr:row>
      <xdr:rowOff>47625</xdr:rowOff>
    </xdr:to>
    <xdr:sp macro="" textlink="">
      <xdr:nvSpPr>
        <xdr:cNvPr id="60773" name="Picture 2">
          <a:extLst>
            <a:ext uri="{FF2B5EF4-FFF2-40B4-BE49-F238E27FC236}">
              <a16:creationId xmlns:a16="http://schemas.microsoft.com/office/drawing/2014/main" id="{00000000-0008-0000-0100-000065ED0000}"/>
            </a:ext>
          </a:extLst>
        </xdr:cNvPr>
        <xdr:cNvSpPr>
          <a:spLocks noChangeAspect="1" noChangeArrowheads="1"/>
        </xdr:cNvSpPr>
      </xdr:nvSpPr>
      <xdr:spPr bwMode="auto">
        <a:xfrm>
          <a:off x="148085175" y="0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47625</xdr:colOff>
      <xdr:row>1</xdr:row>
      <xdr:rowOff>47625</xdr:rowOff>
    </xdr:to>
    <xdr:sp macro="" textlink="">
      <xdr:nvSpPr>
        <xdr:cNvPr id="60774" name="Picture 3">
          <a:extLst>
            <a:ext uri="{FF2B5EF4-FFF2-40B4-BE49-F238E27FC236}">
              <a16:creationId xmlns:a16="http://schemas.microsoft.com/office/drawing/2014/main" id="{00000000-0008-0000-0100-000066ED0000}"/>
            </a:ext>
          </a:extLst>
        </xdr:cNvPr>
        <xdr:cNvSpPr>
          <a:spLocks noChangeAspect="1" noChangeArrowheads="1"/>
        </xdr:cNvSpPr>
      </xdr:nvSpPr>
      <xdr:spPr bwMode="auto">
        <a:xfrm>
          <a:off x="148085175" y="0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10</xdr:col>
      <xdr:colOff>123825</xdr:colOff>
      <xdr:row>4</xdr:row>
      <xdr:rowOff>47625</xdr:rowOff>
    </xdr:to>
    <xdr:sp macro="" textlink="">
      <xdr:nvSpPr>
        <xdr:cNvPr id="60420" name="Object 4" hidden="1">
          <a:extLst>
            <a:ext uri="{63B3BB69-23CF-44E3-9099-C40C66FF867C}">
              <a14:compatExt xmlns:a14="http://schemas.microsoft.com/office/drawing/2010/main" spid="_x0000_s60420"/>
            </a:ext>
            <a:ext uri="{FF2B5EF4-FFF2-40B4-BE49-F238E27FC236}">
              <a16:creationId xmlns:a16="http://schemas.microsoft.com/office/drawing/2014/main" id="{00000000-0008-0000-0100-000004E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0</xdr:rowOff>
    </xdr:from>
    <xdr:to>
      <xdr:col>8</xdr:col>
      <xdr:colOff>438150</xdr:colOff>
      <xdr:row>0</xdr:row>
      <xdr:rowOff>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id="{00000000-0008-0000-11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961725" y="933450"/>
          <a:ext cx="302895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2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Daliat El Carmel Local Municipality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47625</xdr:colOff>
      <xdr:row>0</xdr:row>
      <xdr:rowOff>342900</xdr:rowOff>
    </xdr:to>
    <xdr:sp macro="" textlink="">
      <xdr:nvSpPr>
        <xdr:cNvPr id="55655" name="Picture 4">
          <a:extLst>
            <a:ext uri="{FF2B5EF4-FFF2-40B4-BE49-F238E27FC236}">
              <a16:creationId xmlns:a16="http://schemas.microsoft.com/office/drawing/2014/main" id="{00000000-0008-0000-1100-000067D90000}"/>
            </a:ext>
          </a:extLst>
        </xdr:cNvPr>
        <xdr:cNvSpPr>
          <a:spLocks noChangeAspect="1" noChangeArrowheads="1"/>
        </xdr:cNvSpPr>
      </xdr:nvSpPr>
      <xdr:spPr bwMode="auto">
        <a:xfrm>
          <a:off x="148085175" y="0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47625</xdr:colOff>
      <xdr:row>0</xdr:row>
      <xdr:rowOff>342900</xdr:rowOff>
    </xdr:to>
    <xdr:sp macro="" textlink="">
      <xdr:nvSpPr>
        <xdr:cNvPr id="55656" name="Picture 5">
          <a:extLst>
            <a:ext uri="{FF2B5EF4-FFF2-40B4-BE49-F238E27FC236}">
              <a16:creationId xmlns:a16="http://schemas.microsoft.com/office/drawing/2014/main" id="{00000000-0008-0000-1100-000068D90000}"/>
            </a:ext>
          </a:extLst>
        </xdr:cNvPr>
        <xdr:cNvSpPr>
          <a:spLocks noChangeAspect="1" noChangeArrowheads="1"/>
        </xdr:cNvSpPr>
      </xdr:nvSpPr>
      <xdr:spPr bwMode="auto">
        <a:xfrm>
          <a:off x="148085175" y="0"/>
          <a:ext cx="657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10</xdr:col>
      <xdr:colOff>447675</xdr:colOff>
      <xdr:row>3</xdr:row>
      <xdr:rowOff>95250</xdr:rowOff>
    </xdr:to>
    <xdr:sp macro="" textlink="">
      <xdr:nvSpPr>
        <xdr:cNvPr id="55302" name="Object 6" hidden="1">
          <a:extLst>
            <a:ext uri="{63B3BB69-23CF-44E3-9099-C40C66FF867C}">
              <a14:compatExt xmlns:a14="http://schemas.microsoft.com/office/drawing/2010/main" spid="_x0000_s55302"/>
            </a:ext>
            <a:ext uri="{FF2B5EF4-FFF2-40B4-BE49-F238E27FC236}">
              <a16:creationId xmlns:a16="http://schemas.microsoft.com/office/drawing/2014/main" id="{00000000-0008-0000-1100-000006D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a1\My%20Documents\install\user\&#1513;&#1493;&#1500;&#1495;&#1503;%20&#1492;&#1506;&#1489;&#1493;&#1491;&#1492;\&#1492;&#1502;&#1505;&#1502;&#1499;&#1497;&#1501;%20&#1513;&#1500;&#1497;\&#1513;&#1504;&#1514;%202010\&#1491;&#1493;&#1495;&#1493;&#1514;%20&#1512;&#1489;&#1506;&#1493;&#1504;&#1497;&#1497;&#1501;\&#1512;&#1489;&#1506;&#1493;&#1503;%201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eb\AppData\Local\Microsoft\Windows\Temporary%20Internet%20Files\Content.Outlook\4ESTIMFA\Users\Saeb2\Downloads\&#1506;&#1493;&#1514;&#1511;%20&#1513;&#1500;%20&#1514;&#1511;&#1510;&#1497;&#1489;%20&#1506;&#1493;&#1505;&#1508;&#1497;&#1488;%2017112016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eb\AppData\Local\Microsoft\Windows\Temporary%20Internet%20Files\Content.Outlook\4ESTIMFA\Users\reem\AppData\Local\Temp\&#1492;&#1499;&#1504;&#1505;&#1493;&#1514;%20&#1492;&#1493;&#1510;&#1488;&#1493;&#1514;%202017%20&#1497;&#1493;&#1504;&#149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14;&#1511;&#1510;&#1497;&#1489;%20&#1506;&#1497;&#1505;&#1508;&#1497;&#1492;\&#1514;&#1511;&#1510;&#1497;&#1489;%202018%20&#1500;&#1500;&#1488;%20&#1502;&#1513;&#1511;%20&#150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קרא"/>
      <sheetName val="תוכן הענינים"/>
      <sheetName val="הגדרות כלליות"/>
      <sheetName val="בדיקות הצלבה"/>
      <sheetName val="תמצית מאזן"/>
      <sheetName val="תקציב רגיל"/>
      <sheetName val="תברים"/>
      <sheetName val="ריכוז תברים"/>
      <sheetName val="גבייה וחייבים"/>
      <sheetName val="ארנונה"/>
      <sheetName val="שכר ומשרות"/>
      <sheetName val="בעלי שכר גבוה"/>
      <sheetName val="הערות הרשות"/>
      <sheetName val="ביאורים 1, 2 א-ב ישן"/>
    </sheetNames>
    <sheetDataSet>
      <sheetData sheetId="0"/>
      <sheetData sheetId="1"/>
      <sheetData sheetId="2">
        <row r="2">
          <cell r="O2" t="str">
            <v>לתקופה: רבעון 1, שנת 2010</v>
          </cell>
        </row>
        <row r="9">
          <cell r="D9" t="str">
            <v>עיספיא</v>
          </cell>
        </row>
        <row r="11">
          <cell r="D11">
            <v>2010</v>
          </cell>
        </row>
        <row r="30">
          <cell r="G30" t="str">
            <v>מועצת הרשות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תיח"/>
      <sheetName val="אינדקס"/>
      <sheetName val="טבלה מעודכנת "/>
      <sheetName val="טבלה 2"/>
      <sheetName val="טבלה 3"/>
      <sheetName val="טבלה 4"/>
      <sheetName val="טבלה 5"/>
      <sheetName val="נספחים"/>
      <sheetName val="הצהרה"/>
      <sheetName val="הצהרה (2)"/>
      <sheetName val="נספח ב"/>
      <sheetName val="נספח ג"/>
      <sheetName val="נספח ד"/>
      <sheetName val="נספח ה"/>
      <sheetName val="נספח ו"/>
      <sheetName val="נספח ז 1"/>
      <sheetName val="נספח ז 2"/>
      <sheetName val="נספחים (2)"/>
      <sheetName val="פירוטים"/>
      <sheetName val="נספח 2"/>
      <sheetName val="פירוט גרעונות"/>
      <sheetName val="טבלה  4"/>
      <sheetName val="נספח 5 שכר"/>
      <sheetName val="נספח 6 פעולות"/>
      <sheetName val="פרעון מלוות "/>
      <sheetName val="נספח 8 תמיכות "/>
      <sheetName val="נספח 9 הכנסות "/>
      <sheetName val="נספח 10 ביוב "/>
      <sheetName val="שינוי תקציב "/>
      <sheetName val="הסברים"/>
      <sheetName val="הוצאות "/>
      <sheetName val="מוניצפלי"/>
      <sheetName val="הכנסות "/>
      <sheetName val="מוניצ"/>
      <sheetName val="חינוך"/>
      <sheetName val="רווחה"/>
      <sheetName val="גיליון1"/>
      <sheetName val="פירוט שכר כללי"/>
      <sheetName val="פירוט פעולות כלליות"/>
      <sheetName val="פירוט שכר חינוך"/>
      <sheetName val="פירוט פעולות חינוך"/>
      <sheetName val="פירוט שכר רווחה"/>
      <sheetName val="פירוט פעולות רווחה"/>
      <sheetName val="פירוט עצמיות אחר"/>
      <sheetName val="פירוט תקבולים ממשלתיים אחרים"/>
      <sheetName val="פירוט הכנסות ח&quot;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34">
          <cell r="F234">
            <v>282000</v>
          </cell>
          <cell r="G234">
            <v>282000</v>
          </cell>
        </row>
        <row r="235">
          <cell r="F235">
            <v>45685</v>
          </cell>
          <cell r="G235">
            <v>45685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500542946182"/>
      <sheetName val="הכנסות"/>
      <sheetName val="הוצאות"/>
      <sheetName val="דוח הפרש שכר "/>
      <sheetName val="מיון דוח 66 לפי פרקים"/>
      <sheetName val="בעלי שכר גבוה"/>
      <sheetName val="דוח גבייה"/>
      <sheetName val="ארנונה ומים"/>
      <sheetName val="עומס מלוות"/>
      <sheetName val="בעלי שכר גבוה 2016"/>
      <sheetName val="נכסים 2017"/>
      <sheetName val="גיליון3"/>
    </sheetNames>
    <sheetDataSet>
      <sheetData sheetId="0"/>
      <sheetData sheetId="1"/>
      <sheetData sheetId="2">
        <row r="438">
          <cell r="D438">
            <v>70640364</v>
          </cell>
          <cell r="E438">
            <v>35320182</v>
          </cell>
          <cell r="F438">
            <v>33624772.689999998</v>
          </cell>
          <cell r="G438">
            <v>3894250.9844999998</v>
          </cell>
          <cell r="H438">
            <v>37519023.674499996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תיח"/>
      <sheetName val="אינדקס"/>
      <sheetName val="טבלה מעודכנת "/>
      <sheetName val="טבלה 2"/>
      <sheetName val="טבלה 3"/>
      <sheetName val="טבלה 4"/>
      <sheetName val="טבלה 5"/>
      <sheetName val="נספחים"/>
      <sheetName val="הצהרה"/>
      <sheetName val="הצהרה (2)"/>
      <sheetName val="נספח ב"/>
      <sheetName val="נספח ג"/>
      <sheetName val="נספח ד"/>
      <sheetName val="נספח ה"/>
      <sheetName val="נספח ו"/>
      <sheetName val="נספח ז 1"/>
      <sheetName val="נספח ז 2"/>
      <sheetName val="נספחים (2)"/>
      <sheetName val="פירוטים"/>
      <sheetName val="נספח 2"/>
      <sheetName val="פירוט גרעונות"/>
      <sheetName val="טבלה  4"/>
      <sheetName val="נספח 5 שכר"/>
      <sheetName val="נספח 6 פעולות"/>
      <sheetName val="פרעון מלוות "/>
      <sheetName val="נספח 8 תמיכות "/>
      <sheetName val="נספח 9 הכנסות "/>
      <sheetName val="נספח 10 ביוב "/>
      <sheetName val="הסברים"/>
      <sheetName val="הוצאות "/>
      <sheetName val="מוניצפלי"/>
      <sheetName val="הכנסות "/>
      <sheetName val="מוניצ"/>
      <sheetName val="חינוך"/>
      <sheetName val="רווחה"/>
      <sheetName val="גיליון1"/>
      <sheetName val="פירוט שכר כללי"/>
      <sheetName val="פירוט פעולות כלליות"/>
      <sheetName val="פירוט שכר חינוך"/>
      <sheetName val="פירוט פעולות חינוך"/>
      <sheetName val="פירוט שכר רווחה"/>
      <sheetName val="פירוט פעולות רווחה"/>
      <sheetName val="פירוט עצמיות אחר"/>
      <sheetName val="פירוט תקבולים ממשלתיים אחרים"/>
      <sheetName val="פירוט הכנסות ח&quot;פ"/>
      <sheetName val="הכנסות לשלפה"/>
      <sheetName val="שכר"/>
      <sheetName val="משק המים"/>
      <sheetName val="66 מצטבר"/>
      <sheetName val="עזר"/>
      <sheetName val="Sheet1"/>
      <sheetName val="ביצוע 9.17"/>
      <sheetName val="מלוות"/>
      <sheetName val="ריכוז תקציב מ.מים"/>
      <sheetName val="תקציב מפורט מ.מ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2">
          <cell r="H92">
            <v>0</v>
          </cell>
          <cell r="P92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K36"/>
  <sheetViews>
    <sheetView showGridLines="0" rightToLeft="1" view="pageLayout" zoomScale="60" zoomScalePageLayoutView="60" workbookViewId="0">
      <selection activeCell="A21" sqref="A21"/>
    </sheetView>
  </sheetViews>
  <sheetFormatPr defaultRowHeight="12.75" x14ac:dyDescent="0.2"/>
  <sheetData>
    <row r="1" spans="1:11" ht="18" x14ac:dyDescent="0.2">
      <c r="A1" s="7"/>
      <c r="B1" s="7"/>
      <c r="C1" s="7"/>
      <c r="D1" s="7"/>
      <c r="E1" s="7"/>
      <c r="F1" s="7"/>
      <c r="G1" s="7"/>
      <c r="H1" s="7"/>
      <c r="I1" s="7"/>
    </row>
    <row r="2" spans="1:11" ht="18" x14ac:dyDescent="0.2">
      <c r="A2" s="7"/>
      <c r="B2" s="7"/>
      <c r="C2" s="7"/>
      <c r="D2" s="7"/>
      <c r="E2" s="7"/>
      <c r="F2" s="7"/>
      <c r="G2" s="7"/>
      <c r="H2" s="7"/>
      <c r="I2" s="7"/>
    </row>
    <row r="3" spans="1:11" s="8" customFormat="1" ht="18.75" thickBot="1" x14ac:dyDescent="0.25">
      <c r="A3" s="561"/>
      <c r="B3" s="561"/>
      <c r="C3" s="561"/>
      <c r="D3" s="561"/>
      <c r="E3" s="561"/>
      <c r="F3" s="561"/>
      <c r="G3" s="561"/>
      <c r="H3" s="561"/>
      <c r="I3" s="561"/>
    </row>
    <row r="4" spans="1:11" s="8" customFormat="1" ht="18" x14ac:dyDescent="0.2">
      <c r="A4" s="559"/>
      <c r="B4" s="560"/>
      <c r="C4" s="560"/>
      <c r="D4" s="560"/>
      <c r="E4" s="560"/>
      <c r="F4" s="560"/>
      <c r="G4" s="560"/>
      <c r="H4" s="560"/>
      <c r="I4" s="560"/>
      <c r="J4" s="571"/>
      <c r="K4" s="572"/>
    </row>
    <row r="5" spans="1:11" s="8" customFormat="1" ht="18.75" x14ac:dyDescent="0.2">
      <c r="A5" s="562"/>
      <c r="B5" s="563"/>
      <c r="C5" s="563"/>
      <c r="D5" s="563"/>
      <c r="E5" s="563"/>
      <c r="F5" s="563"/>
      <c r="G5" s="563"/>
      <c r="H5" s="563"/>
      <c r="I5" s="563"/>
      <c r="J5" s="418"/>
      <c r="K5" s="573"/>
    </row>
    <row r="6" spans="1:11" x14ac:dyDescent="0.2">
      <c r="A6" s="163"/>
      <c r="B6" s="1302"/>
      <c r="C6" s="1302"/>
      <c r="D6" s="1302"/>
      <c r="E6" s="1302"/>
      <c r="F6" s="1302"/>
      <c r="G6" s="1302"/>
      <c r="H6" s="1302"/>
      <c r="I6" s="13"/>
      <c r="J6" s="2"/>
      <c r="K6" s="556"/>
    </row>
    <row r="7" spans="1:11" x14ac:dyDescent="0.2">
      <c r="A7" s="163"/>
      <c r="B7" s="13"/>
      <c r="C7" s="13"/>
      <c r="D7" s="13"/>
      <c r="E7" s="13"/>
      <c r="F7" s="13"/>
      <c r="G7" s="13"/>
      <c r="H7" s="13"/>
      <c r="I7" s="13"/>
      <c r="J7" s="2"/>
      <c r="K7" s="556"/>
    </row>
    <row r="8" spans="1:11" s="9" customFormat="1" ht="60.75" x14ac:dyDescent="0.85">
      <c r="A8" s="1305" t="s">
        <v>0</v>
      </c>
      <c r="B8" s="1306"/>
      <c r="C8" s="1306"/>
      <c r="D8" s="1306"/>
      <c r="E8" s="1306"/>
      <c r="F8" s="1306"/>
      <c r="G8" s="1306"/>
      <c r="H8" s="1306"/>
      <c r="I8" s="1306"/>
      <c r="J8" s="1306"/>
      <c r="K8" s="1307"/>
    </row>
    <row r="9" spans="1:11" s="9" customFormat="1" ht="37.5" x14ac:dyDescent="0.5">
      <c r="A9" s="1303"/>
      <c r="B9" s="1304"/>
      <c r="C9" s="1304"/>
      <c r="D9" s="1304"/>
      <c r="E9" s="1304"/>
      <c r="F9" s="1304"/>
      <c r="G9" s="1304"/>
      <c r="H9" s="1304"/>
      <c r="I9" s="1304"/>
      <c r="J9" s="574"/>
      <c r="K9" s="575"/>
    </row>
    <row r="10" spans="1:11" ht="11.25" customHeight="1" x14ac:dyDescent="0.4">
      <c r="A10" s="564"/>
      <c r="B10" s="565"/>
      <c r="C10" s="565"/>
      <c r="D10" s="565"/>
      <c r="E10" s="565"/>
      <c r="F10" s="565"/>
      <c r="G10" s="565"/>
      <c r="H10" s="565"/>
      <c r="I10" s="565"/>
      <c r="J10" s="2"/>
      <c r="K10" s="556"/>
    </row>
    <row r="11" spans="1:11" ht="11.25" customHeight="1" x14ac:dyDescent="0.4">
      <c r="A11" s="564"/>
      <c r="B11" s="565"/>
      <c r="C11" s="565"/>
      <c r="D11" s="565"/>
      <c r="E11" s="565"/>
      <c r="F11" s="565"/>
      <c r="G11" s="565"/>
      <c r="H11" s="565"/>
      <c r="I11" s="565"/>
      <c r="J11" s="2"/>
      <c r="K11" s="556"/>
    </row>
    <row r="12" spans="1:11" ht="119.25" customHeight="1" x14ac:dyDescent="0.4">
      <c r="A12" s="564"/>
      <c r="B12" s="565"/>
      <c r="C12" s="565"/>
      <c r="D12" s="565"/>
      <c r="E12" s="565"/>
      <c r="F12" s="565"/>
      <c r="G12" s="565"/>
      <c r="H12" s="565"/>
      <c r="I12" s="565"/>
      <c r="J12" s="2"/>
      <c r="K12" s="556"/>
    </row>
    <row r="13" spans="1:11" ht="11.25" customHeight="1" x14ac:dyDescent="0.4">
      <c r="A13" s="564"/>
      <c r="B13" s="565"/>
      <c r="C13" s="565"/>
      <c r="D13" s="565"/>
      <c r="E13" s="565"/>
      <c r="F13" s="565"/>
      <c r="G13" s="565"/>
      <c r="H13" s="565"/>
      <c r="I13" s="565"/>
      <c r="J13" s="2"/>
      <c r="K13" s="556"/>
    </row>
    <row r="14" spans="1:11" ht="11.25" customHeight="1" x14ac:dyDescent="0.4">
      <c r="A14" s="564"/>
      <c r="B14" s="565"/>
      <c r="C14" s="565"/>
      <c r="D14" s="565"/>
      <c r="E14" s="565"/>
      <c r="F14" s="565"/>
      <c r="G14" s="565"/>
      <c r="H14" s="565"/>
      <c r="I14" s="565"/>
      <c r="J14" s="2"/>
      <c r="K14" s="556"/>
    </row>
    <row r="15" spans="1:11" ht="11.25" customHeight="1" x14ac:dyDescent="0.4">
      <c r="A15" s="564"/>
      <c r="B15" s="565"/>
      <c r="C15" s="565"/>
      <c r="D15" s="565"/>
      <c r="E15" s="565"/>
      <c r="F15" s="565"/>
      <c r="G15" s="565"/>
      <c r="H15" s="565"/>
      <c r="I15" s="565"/>
      <c r="J15" s="2"/>
      <c r="K15" s="556"/>
    </row>
    <row r="16" spans="1:11" ht="11.25" customHeight="1" x14ac:dyDescent="0.4">
      <c r="A16" s="564"/>
      <c r="B16" s="565"/>
      <c r="C16" s="565"/>
      <c r="D16" s="565"/>
      <c r="E16" s="565"/>
      <c r="F16" s="565"/>
      <c r="G16" s="565"/>
      <c r="H16" s="565"/>
      <c r="I16" s="565"/>
      <c r="J16" s="2"/>
      <c r="K16" s="556"/>
    </row>
    <row r="17" spans="1:11" ht="11.25" customHeight="1" x14ac:dyDescent="0.4">
      <c r="A17" s="564"/>
      <c r="B17" s="565"/>
      <c r="C17" s="565"/>
      <c r="D17" s="565"/>
      <c r="E17" s="565"/>
      <c r="F17" s="565"/>
      <c r="G17" s="565"/>
      <c r="H17" s="565"/>
      <c r="I17" s="565"/>
      <c r="J17" s="2"/>
      <c r="K17" s="556"/>
    </row>
    <row r="18" spans="1:11" ht="88.5" customHeight="1" x14ac:dyDescent="0.2">
      <c r="A18" s="1308" t="s">
        <v>3306</v>
      </c>
      <c r="B18" s="1309"/>
      <c r="C18" s="1309"/>
      <c r="D18" s="1309"/>
      <c r="E18" s="1309"/>
      <c r="F18" s="1309"/>
      <c r="G18" s="1309"/>
      <c r="H18" s="1309"/>
      <c r="I18" s="1309"/>
      <c r="J18" s="1309"/>
      <c r="K18" s="1310"/>
    </row>
    <row r="19" spans="1:11" ht="17.25" customHeight="1" x14ac:dyDescent="0.2">
      <c r="A19" s="1308"/>
      <c r="B19" s="1309"/>
      <c r="C19" s="1309"/>
      <c r="D19" s="1309"/>
      <c r="E19" s="1309"/>
      <c r="F19" s="1309"/>
      <c r="G19" s="1309"/>
      <c r="H19" s="1309"/>
      <c r="I19" s="1309"/>
      <c r="J19" s="1309"/>
      <c r="K19" s="1310"/>
    </row>
    <row r="20" spans="1:11" ht="12.75" customHeight="1" x14ac:dyDescent="0.2">
      <c r="A20" s="1308"/>
      <c r="B20" s="1309"/>
      <c r="C20" s="1309"/>
      <c r="D20" s="1309"/>
      <c r="E20" s="1309"/>
      <c r="F20" s="1309"/>
      <c r="G20" s="1309"/>
      <c r="H20" s="1309"/>
      <c r="I20" s="1309"/>
      <c r="J20" s="1309"/>
      <c r="K20" s="1310"/>
    </row>
    <row r="21" spans="1:11" ht="14.25" customHeight="1" x14ac:dyDescent="0.4">
      <c r="A21" s="163"/>
      <c r="B21" s="565"/>
      <c r="C21" s="565"/>
      <c r="D21" s="565"/>
      <c r="E21" s="565"/>
      <c r="F21" s="565"/>
      <c r="G21" s="565"/>
      <c r="H21" s="565"/>
      <c r="I21" s="13"/>
      <c r="J21" s="2"/>
      <c r="K21" s="556"/>
    </row>
    <row r="22" spans="1:11" ht="26.25" x14ac:dyDescent="0.4">
      <c r="A22" s="163"/>
      <c r="B22" s="565"/>
      <c r="C22" s="565"/>
      <c r="D22" s="565"/>
      <c r="E22" s="565"/>
      <c r="F22" s="565"/>
      <c r="G22" s="565"/>
      <c r="H22" s="565"/>
      <c r="I22" s="13"/>
      <c r="J22" s="2"/>
      <c r="K22" s="556"/>
    </row>
    <row r="23" spans="1:11" ht="26.25" x14ac:dyDescent="0.4">
      <c r="A23" s="566"/>
      <c r="B23" s="567"/>
      <c r="C23" s="567"/>
      <c r="D23" s="567"/>
      <c r="E23" s="567"/>
      <c r="F23" s="567"/>
      <c r="G23" s="567"/>
      <c r="H23" s="567"/>
      <c r="I23" s="568"/>
      <c r="J23" s="2"/>
      <c r="K23" s="556"/>
    </row>
    <row r="24" spans="1:11" ht="26.25" x14ac:dyDescent="0.4">
      <c r="A24" s="566"/>
      <c r="B24" s="567"/>
      <c r="C24" s="567"/>
      <c r="D24" s="567"/>
      <c r="E24" s="567"/>
      <c r="F24" s="567"/>
      <c r="G24" s="567"/>
      <c r="H24" s="567"/>
      <c r="I24" s="568"/>
      <c r="J24" s="2"/>
      <c r="K24" s="556"/>
    </row>
    <row r="25" spans="1:11" ht="26.25" x14ac:dyDescent="0.4">
      <c r="A25" s="566"/>
      <c r="B25" s="567"/>
      <c r="C25" s="567"/>
      <c r="D25" s="567"/>
      <c r="E25" s="567"/>
      <c r="F25" s="567"/>
      <c r="G25" s="567"/>
      <c r="H25" s="567"/>
      <c r="I25" s="568"/>
      <c r="J25" s="2"/>
      <c r="K25" s="556"/>
    </row>
    <row r="26" spans="1:11" x14ac:dyDescent="0.2">
      <c r="A26" s="566"/>
      <c r="B26" s="568"/>
      <c r="C26" s="568"/>
      <c r="D26" s="568"/>
      <c r="E26" s="568"/>
      <c r="F26" s="568"/>
      <c r="G26" s="568"/>
      <c r="H26" s="568"/>
      <c r="I26" s="568"/>
      <c r="J26" s="2"/>
      <c r="K26" s="556"/>
    </row>
    <row r="27" spans="1:11" ht="13.5" thickBot="1" x14ac:dyDescent="0.25">
      <c r="A27" s="569"/>
      <c r="B27" s="570"/>
      <c r="C27" s="570"/>
      <c r="D27" s="570"/>
      <c r="E27" s="570"/>
      <c r="F27" s="570"/>
      <c r="G27" s="570"/>
      <c r="H27" s="570"/>
      <c r="I27" s="570"/>
      <c r="J27" s="557"/>
      <c r="K27" s="558"/>
    </row>
    <row r="28" spans="1:11" x14ac:dyDescent="0.2">
      <c r="A28" s="568"/>
      <c r="B28" s="568"/>
      <c r="C28" s="568"/>
      <c r="D28" s="568"/>
      <c r="E28" s="568"/>
      <c r="F28" s="568"/>
      <c r="G28" s="568"/>
      <c r="H28" s="568"/>
      <c r="I28" s="568"/>
    </row>
    <row r="29" spans="1:11" x14ac:dyDescent="0.2">
      <c r="A29" s="568"/>
      <c r="B29" s="568"/>
      <c r="C29" s="568"/>
      <c r="D29" s="568"/>
      <c r="E29" s="568"/>
      <c r="F29" s="568"/>
      <c r="G29" s="568"/>
      <c r="H29" s="568"/>
      <c r="I29" s="568"/>
    </row>
    <row r="30" spans="1:11" x14ac:dyDescent="0.2">
      <c r="A30" s="568"/>
      <c r="B30" s="568"/>
      <c r="C30" s="568"/>
      <c r="D30" s="568"/>
      <c r="E30" s="568"/>
      <c r="F30" s="568"/>
      <c r="G30" s="568"/>
      <c r="H30" s="568"/>
      <c r="I30" s="568"/>
    </row>
    <row r="31" spans="1:11" x14ac:dyDescent="0.2">
      <c r="A31" s="568"/>
      <c r="B31" s="568"/>
      <c r="C31" s="568"/>
      <c r="D31" s="568"/>
      <c r="E31" s="568"/>
      <c r="F31" s="568"/>
      <c r="G31" s="568"/>
      <c r="H31" s="568"/>
      <c r="I31" s="568"/>
    </row>
    <row r="32" spans="1:11" x14ac:dyDescent="0.2">
      <c r="A32" s="568"/>
      <c r="B32" s="568"/>
      <c r="C32" s="568"/>
      <c r="D32" s="568"/>
      <c r="E32" s="568"/>
      <c r="F32" s="568"/>
      <c r="G32" s="568"/>
      <c r="H32" s="568"/>
      <c r="I32" s="568"/>
    </row>
    <row r="33" spans="1:9" x14ac:dyDescent="0.2">
      <c r="A33" s="568"/>
      <c r="B33" s="568"/>
      <c r="C33" s="568"/>
      <c r="D33" s="568"/>
      <c r="E33" s="568"/>
      <c r="F33" s="568"/>
      <c r="G33" s="568"/>
      <c r="H33" s="568"/>
      <c r="I33" s="568"/>
    </row>
    <row r="34" spans="1:9" x14ac:dyDescent="0.2">
      <c r="A34" s="568"/>
      <c r="B34" s="568"/>
      <c r="C34" s="568"/>
      <c r="D34" s="568"/>
      <c r="E34" s="568"/>
      <c r="F34" s="568"/>
      <c r="G34" s="568"/>
      <c r="H34" s="568"/>
      <c r="I34" s="568"/>
    </row>
    <row r="35" spans="1:9" x14ac:dyDescent="0.2">
      <c r="A35" s="568"/>
      <c r="B35" s="568"/>
      <c r="C35" s="568"/>
      <c r="D35" s="568"/>
      <c r="E35" s="568"/>
      <c r="F35" s="568"/>
      <c r="G35" s="568"/>
      <c r="H35" s="568"/>
      <c r="I35" s="568"/>
    </row>
    <row r="36" spans="1:9" x14ac:dyDescent="0.2">
      <c r="A36" s="568"/>
      <c r="B36" s="568"/>
      <c r="C36" s="568"/>
      <c r="D36" s="568"/>
      <c r="E36" s="568"/>
      <c r="F36" s="568"/>
      <c r="G36" s="568"/>
      <c r="H36" s="568"/>
      <c r="I36" s="568"/>
    </row>
  </sheetData>
  <mergeCells count="4">
    <mergeCell ref="B6:H6"/>
    <mergeCell ref="A9:I9"/>
    <mergeCell ref="A8:K8"/>
    <mergeCell ref="A18:K20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/>
  <dimension ref="A1:K33"/>
  <sheetViews>
    <sheetView showGridLines="0" rightToLeft="1" view="pageLayout" zoomScale="80" zoomScalePageLayoutView="80" workbookViewId="0">
      <selection activeCell="B17" sqref="B17"/>
    </sheetView>
  </sheetViews>
  <sheetFormatPr defaultColWidth="9.140625" defaultRowHeight="12.75" x14ac:dyDescent="0.2"/>
  <cols>
    <col min="1" max="1" width="8.85546875" style="12" customWidth="1"/>
    <col min="2" max="2" width="3.28515625" style="12" customWidth="1"/>
    <col min="3" max="6" width="9.140625" style="12"/>
    <col min="7" max="7" width="10.28515625" style="12" customWidth="1"/>
    <col min="8" max="8" width="9.140625" style="12"/>
    <col min="9" max="9" width="10.140625" style="12" customWidth="1"/>
    <col min="10" max="10" width="15.28515625" style="12" customWidth="1"/>
    <col min="11" max="11" width="10.42578125" style="12" customWidth="1"/>
    <col min="12" max="16384" width="9.140625" style="12"/>
  </cols>
  <sheetData>
    <row r="1" spans="1:11" ht="23.25" x14ac:dyDescent="0.35">
      <c r="A1" s="1311" t="s">
        <v>0</v>
      </c>
      <c r="B1" s="1312"/>
      <c r="C1" s="1312"/>
      <c r="D1" s="1312"/>
      <c r="E1" s="1312"/>
      <c r="F1" s="1312"/>
      <c r="G1" s="1312"/>
      <c r="H1" s="1312"/>
      <c r="I1" s="1312"/>
      <c r="J1" s="1312"/>
      <c r="K1" s="1313"/>
    </row>
    <row r="2" spans="1:11" ht="16.5" x14ac:dyDescent="0.25">
      <c r="A2" s="769"/>
      <c r="F2" s="553"/>
    </row>
    <row r="3" spans="1:11" ht="16.5" x14ac:dyDescent="0.25">
      <c r="A3" s="769"/>
      <c r="F3" s="553"/>
    </row>
    <row r="4" spans="1:11" ht="18.75" x14ac:dyDescent="0.3">
      <c r="A4" s="15"/>
      <c r="B4" s="15"/>
      <c r="D4" s="15"/>
      <c r="E4" s="15"/>
      <c r="K4" s="16" t="s">
        <v>1</v>
      </c>
    </row>
    <row r="5" spans="1:11" ht="16.5" x14ac:dyDescent="0.25">
      <c r="A5" s="769"/>
      <c r="B5" s="769"/>
      <c r="J5" s="11"/>
    </row>
    <row r="6" spans="1:11" ht="20.25" x14ac:dyDescent="0.3">
      <c r="A6" s="769"/>
      <c r="B6" s="577" t="s">
        <v>2</v>
      </c>
      <c r="C6" s="578"/>
      <c r="D6" s="104"/>
      <c r="E6" s="104"/>
      <c r="F6" s="104"/>
      <c r="G6" s="104"/>
      <c r="H6" s="104"/>
      <c r="I6" s="104"/>
      <c r="J6" s="579"/>
      <c r="K6" s="579"/>
    </row>
    <row r="7" spans="1:11" ht="16.5" x14ac:dyDescent="0.25">
      <c r="A7" s="769"/>
      <c r="B7" s="580"/>
      <c r="C7" s="104"/>
      <c r="D7" s="104"/>
      <c r="E7" s="104"/>
      <c r="F7" s="104"/>
      <c r="G7" s="104"/>
      <c r="H7" s="104"/>
      <c r="I7" s="104"/>
      <c r="J7" s="579"/>
      <c r="K7" s="579"/>
    </row>
    <row r="8" spans="1:11" ht="18.75" x14ac:dyDescent="0.3">
      <c r="A8" s="769"/>
      <c r="B8" s="580"/>
      <c r="C8" s="104"/>
      <c r="D8" s="104"/>
      <c r="E8" s="104"/>
      <c r="F8" s="104"/>
      <c r="G8" s="104"/>
      <c r="H8" s="104"/>
      <c r="I8" s="104"/>
      <c r="J8" s="579"/>
      <c r="K8" s="16" t="s">
        <v>3</v>
      </c>
    </row>
    <row r="9" spans="1:11" ht="16.5" x14ac:dyDescent="0.25">
      <c r="A9" s="769"/>
      <c r="B9" s="580"/>
      <c r="C9" s="104"/>
      <c r="D9" s="104"/>
      <c r="E9" s="104"/>
      <c r="F9" s="104"/>
      <c r="G9" s="104"/>
      <c r="H9" s="104"/>
      <c r="I9" s="104"/>
      <c r="J9" s="579"/>
      <c r="K9" s="579"/>
    </row>
    <row r="10" spans="1:11" ht="27" customHeight="1" x14ac:dyDescent="0.25">
      <c r="A10" s="581" t="s">
        <v>4</v>
      </c>
      <c r="B10" s="583" t="s">
        <v>3307</v>
      </c>
      <c r="C10" s="583"/>
      <c r="D10" s="583"/>
      <c r="E10" s="583"/>
      <c r="F10" s="583"/>
      <c r="G10" s="583"/>
      <c r="H10" s="583"/>
      <c r="I10" s="583"/>
      <c r="K10" s="582">
        <v>3</v>
      </c>
    </row>
    <row r="11" spans="1:11" ht="20.25" customHeight="1" x14ac:dyDescent="0.25">
      <c r="A11" s="581"/>
      <c r="B11" s="583"/>
      <c r="C11" s="583"/>
      <c r="D11" s="583"/>
      <c r="E11" s="583"/>
      <c r="F11" s="583"/>
      <c r="G11" s="583"/>
      <c r="H11" s="583"/>
      <c r="I11" s="582"/>
      <c r="K11" s="582"/>
    </row>
    <row r="12" spans="1:11" ht="16.5" x14ac:dyDescent="0.25">
      <c r="A12" s="581"/>
      <c r="B12" s="36"/>
      <c r="C12" s="36"/>
      <c r="D12" s="36"/>
      <c r="E12" s="36"/>
      <c r="F12" s="36"/>
      <c r="G12" s="36"/>
      <c r="H12" s="36"/>
      <c r="I12" s="582"/>
      <c r="K12" s="582"/>
    </row>
    <row r="13" spans="1:11" ht="16.5" x14ac:dyDescent="0.25">
      <c r="A13" s="581" t="s">
        <v>5</v>
      </c>
      <c r="B13" s="36" t="s">
        <v>6</v>
      </c>
      <c r="C13" s="36"/>
      <c r="D13" s="36"/>
      <c r="E13" s="36"/>
      <c r="F13" s="36"/>
      <c r="G13" s="36"/>
      <c r="H13" s="36"/>
      <c r="I13" s="36"/>
      <c r="K13" s="582">
        <v>4</v>
      </c>
    </row>
    <row r="14" spans="1:11" ht="16.5" x14ac:dyDescent="0.25">
      <c r="A14" s="581"/>
      <c r="B14" s="36"/>
      <c r="C14" s="36"/>
      <c r="D14" s="36"/>
      <c r="E14" s="36"/>
      <c r="F14" s="36"/>
      <c r="G14" s="36"/>
      <c r="H14" s="36"/>
      <c r="I14" s="582"/>
      <c r="K14" s="582"/>
    </row>
    <row r="15" spans="1:11" ht="16.5" x14ac:dyDescent="0.25">
      <c r="A15" s="581"/>
      <c r="B15" s="36"/>
      <c r="C15" s="36"/>
      <c r="D15" s="36"/>
      <c r="E15" s="36"/>
      <c r="F15" s="36"/>
      <c r="G15" s="36"/>
      <c r="H15" s="36"/>
      <c r="I15" s="582"/>
      <c r="K15" s="582"/>
    </row>
    <row r="16" spans="1:11" ht="16.5" x14ac:dyDescent="0.25">
      <c r="A16" s="581" t="s">
        <v>7</v>
      </c>
      <c r="B16" s="36" t="s">
        <v>3311</v>
      </c>
      <c r="C16" s="36"/>
      <c r="D16" s="36"/>
      <c r="E16" s="36"/>
      <c r="F16" s="36"/>
      <c r="G16" s="36"/>
      <c r="H16" s="36"/>
      <c r="I16" s="582"/>
      <c r="K16" s="582">
        <v>5</v>
      </c>
    </row>
    <row r="17" spans="1:11" ht="16.5" x14ac:dyDescent="0.25">
      <c r="A17" s="581"/>
      <c r="B17" s="36"/>
      <c r="C17" s="36"/>
      <c r="D17" s="36"/>
      <c r="E17" s="36"/>
      <c r="F17" s="36"/>
      <c r="G17" s="36"/>
      <c r="H17" s="36"/>
      <c r="I17" s="582"/>
      <c r="K17" s="582"/>
    </row>
    <row r="18" spans="1:11" ht="16.5" x14ac:dyDescent="0.25">
      <c r="A18" s="581"/>
      <c r="B18" s="36"/>
      <c r="C18" s="36"/>
      <c r="D18" s="36"/>
      <c r="E18" s="36"/>
      <c r="F18" s="36"/>
      <c r="G18" s="36"/>
      <c r="H18" s="36"/>
      <c r="I18" s="582"/>
      <c r="K18" s="582"/>
    </row>
    <row r="19" spans="1:11" ht="16.5" x14ac:dyDescent="0.25">
      <c r="A19" s="581" t="s">
        <v>8</v>
      </c>
      <c r="B19" s="36" t="s">
        <v>9</v>
      </c>
      <c r="C19" s="36"/>
      <c r="D19" s="36"/>
      <c r="E19" s="36"/>
      <c r="F19" s="36"/>
      <c r="G19" s="36"/>
      <c r="H19" s="36"/>
      <c r="I19" s="36"/>
      <c r="K19" s="582">
        <v>6</v>
      </c>
    </row>
    <row r="20" spans="1:11" ht="16.5" x14ac:dyDescent="0.25">
      <c r="A20" s="581"/>
      <c r="B20" s="36"/>
      <c r="C20" s="36"/>
      <c r="D20" s="36"/>
      <c r="E20" s="36"/>
      <c r="F20" s="36"/>
      <c r="G20" s="36"/>
      <c r="H20" s="36"/>
      <c r="I20" s="582"/>
      <c r="K20" s="582"/>
    </row>
    <row r="21" spans="1:11" ht="16.5" x14ac:dyDescent="0.25">
      <c r="A21" s="581"/>
      <c r="B21" s="36"/>
      <c r="C21" s="36"/>
      <c r="D21" s="36"/>
      <c r="E21" s="36"/>
      <c r="F21" s="36"/>
      <c r="G21" s="36"/>
      <c r="H21" s="36"/>
      <c r="I21" s="582"/>
      <c r="K21" s="582"/>
    </row>
    <row r="22" spans="1:11" ht="16.5" x14ac:dyDescent="0.25">
      <c r="A22" s="581" t="s">
        <v>10</v>
      </c>
      <c r="B22" s="36" t="s">
        <v>11</v>
      </c>
      <c r="C22" s="36"/>
      <c r="D22" s="36"/>
      <c r="E22" s="36"/>
      <c r="F22" s="36"/>
      <c r="G22" s="36"/>
      <c r="H22" s="36"/>
      <c r="I22" s="36"/>
      <c r="K22" s="582">
        <v>7</v>
      </c>
    </row>
    <row r="23" spans="1:11" ht="16.5" x14ac:dyDescent="0.25">
      <c r="A23" s="581"/>
      <c r="B23" s="36"/>
      <c r="C23" s="36"/>
      <c r="D23" s="36"/>
      <c r="E23" s="36"/>
      <c r="F23" s="36"/>
      <c r="G23" s="36"/>
      <c r="H23" s="36"/>
      <c r="I23" s="582"/>
      <c r="K23" s="582"/>
    </row>
    <row r="24" spans="1:11" ht="16.5" x14ac:dyDescent="0.25">
      <c r="A24" s="581"/>
      <c r="B24" s="36"/>
      <c r="C24" s="36"/>
      <c r="D24" s="36"/>
      <c r="E24" s="36"/>
      <c r="F24" s="36"/>
      <c r="G24" s="36"/>
      <c r="H24" s="36"/>
      <c r="I24" s="582"/>
      <c r="K24" s="582"/>
    </row>
    <row r="25" spans="1:11" ht="16.5" x14ac:dyDescent="0.25">
      <c r="A25" s="581" t="s">
        <v>12</v>
      </c>
      <c r="B25" s="36" t="s">
        <v>13</v>
      </c>
      <c r="C25" s="36"/>
      <c r="D25" s="36"/>
      <c r="E25" s="36"/>
      <c r="F25" s="36"/>
      <c r="G25" s="36"/>
      <c r="H25" s="36"/>
      <c r="I25" s="582"/>
      <c r="K25" s="584" t="s">
        <v>14</v>
      </c>
    </row>
    <row r="26" spans="1:11" ht="16.5" x14ac:dyDescent="0.25">
      <c r="A26" s="581"/>
      <c r="B26" s="36"/>
      <c r="C26" s="36"/>
      <c r="D26" s="36"/>
      <c r="E26" s="36"/>
      <c r="F26" s="36"/>
      <c r="G26" s="36"/>
      <c r="H26" s="36"/>
      <c r="I26" s="582"/>
      <c r="K26" s="582"/>
    </row>
    <row r="27" spans="1:11" ht="16.5" x14ac:dyDescent="0.25">
      <c r="A27" s="581"/>
      <c r="B27" s="36"/>
      <c r="C27" s="36"/>
      <c r="D27" s="36"/>
      <c r="E27" s="36"/>
      <c r="F27" s="36"/>
      <c r="G27" s="36"/>
      <c r="H27" s="36"/>
      <c r="I27" s="582"/>
      <c r="K27" s="582"/>
    </row>
    <row r="28" spans="1:11" ht="16.5" x14ac:dyDescent="0.25">
      <c r="A28" s="581" t="s">
        <v>15</v>
      </c>
      <c r="B28" s="36" t="s">
        <v>3308</v>
      </c>
      <c r="C28" s="36"/>
      <c r="D28" s="36"/>
      <c r="E28" s="36"/>
      <c r="F28" s="36"/>
      <c r="G28" s="36"/>
      <c r="H28" s="36"/>
      <c r="I28" s="36"/>
      <c r="K28" s="584" t="s">
        <v>3227</v>
      </c>
    </row>
    <row r="33" spans="4:4" ht="15" x14ac:dyDescent="0.25">
      <c r="D33" s="239"/>
    </row>
  </sheetData>
  <mergeCells count="1">
    <mergeCell ref="A1:K1"/>
  </mergeCells>
  <phoneticPr fontId="49" type="noConversion"/>
  <pageMargins left="0.25" right="0.125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rightToLeft="1" view="pageLayout" zoomScaleNormal="100" zoomScaleSheetLayoutView="172" workbookViewId="0">
      <selection activeCell="O51" sqref="O51"/>
    </sheetView>
  </sheetViews>
  <sheetFormatPr defaultColWidth="9.140625" defaultRowHeight="12.75" x14ac:dyDescent="0.2"/>
  <cols>
    <col min="1" max="1" width="47.140625" style="6" customWidth="1"/>
    <col min="2" max="2" width="15.28515625" style="6" customWidth="1"/>
    <col min="3" max="3" width="14.7109375" style="6" hidden="1" customWidth="1"/>
    <col min="4" max="4" width="10.28515625" style="6" hidden="1" customWidth="1"/>
    <col min="5" max="5" width="14.7109375" style="6" customWidth="1"/>
    <col min="6" max="6" width="14.42578125" style="6" customWidth="1"/>
    <col min="7" max="8" width="14.42578125" style="6" hidden="1" customWidth="1"/>
    <col min="9" max="9" width="15.28515625" style="6" hidden="1" customWidth="1"/>
    <col min="10" max="10" width="12.42578125" style="6" hidden="1" customWidth="1"/>
    <col min="11" max="11" width="10.7109375" style="6" hidden="1" customWidth="1"/>
    <col min="12" max="12" width="9.140625" style="6" hidden="1" customWidth="1"/>
    <col min="13" max="13" width="12.42578125" style="6" hidden="1" customWidth="1"/>
    <col min="14" max="14" width="14.7109375" style="6" bestFit="1" customWidth="1"/>
    <col min="15" max="15" width="12.85546875" style="6" bestFit="1" customWidth="1"/>
    <col min="16" max="16" width="12.42578125" style="6" customWidth="1"/>
    <col min="17" max="16384" width="9.140625" style="6"/>
  </cols>
  <sheetData>
    <row r="1" spans="1:16" ht="23.25" customHeight="1" x14ac:dyDescent="0.35">
      <c r="A1" s="1317" t="s">
        <v>16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</row>
    <row r="2" spans="1:16" ht="9" customHeight="1" x14ac:dyDescent="0.35">
      <c r="A2" s="554"/>
      <c r="B2" s="554"/>
      <c r="C2" s="554"/>
      <c r="D2" s="554"/>
      <c r="E2" s="554"/>
      <c r="F2" s="554"/>
      <c r="G2" s="554"/>
      <c r="H2" s="554"/>
      <c r="I2" s="554"/>
    </row>
    <row r="3" spans="1:16" ht="17.25" customHeight="1" x14ac:dyDescent="0.3">
      <c r="A3" s="1319" t="s">
        <v>3309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</row>
    <row r="5" spans="1:16" s="402" customFormat="1" ht="47.25" x14ac:dyDescent="0.2">
      <c r="A5" s="586" t="s">
        <v>17</v>
      </c>
      <c r="B5" s="586" t="s">
        <v>3295</v>
      </c>
      <c r="C5" s="586" t="s">
        <v>1782</v>
      </c>
      <c r="D5" s="586" t="s">
        <v>1785</v>
      </c>
      <c r="E5" s="586" t="s">
        <v>2047</v>
      </c>
      <c r="F5" s="586" t="s">
        <v>3294</v>
      </c>
      <c r="G5" s="595" t="s">
        <v>1852</v>
      </c>
      <c r="H5" s="595" t="s">
        <v>1851</v>
      </c>
      <c r="I5" s="595" t="s">
        <v>2053</v>
      </c>
      <c r="J5" s="595" t="s">
        <v>2054</v>
      </c>
      <c r="K5" s="595" t="s">
        <v>2055</v>
      </c>
      <c r="L5" s="595" t="s">
        <v>2056</v>
      </c>
      <c r="M5" s="595" t="s">
        <v>2051</v>
      </c>
      <c r="N5" s="595" t="s">
        <v>3222</v>
      </c>
      <c r="O5" s="595" t="s">
        <v>19</v>
      </c>
      <c r="P5" s="595" t="s">
        <v>2057</v>
      </c>
    </row>
    <row r="6" spans="1:16" ht="18.75" x14ac:dyDescent="0.2">
      <c r="A6" s="1314" t="s">
        <v>20</v>
      </c>
      <c r="B6" s="1315"/>
      <c r="C6" s="1315"/>
      <c r="D6" s="1315"/>
      <c r="E6" s="1315"/>
      <c r="F6" s="1315"/>
      <c r="G6" s="1315"/>
      <c r="H6" s="1315"/>
      <c r="I6" s="1316"/>
      <c r="K6" s="403"/>
    </row>
    <row r="7" spans="1:16" ht="15" customHeight="1" x14ac:dyDescent="0.25">
      <c r="A7" s="588" t="s">
        <v>21</v>
      </c>
      <c r="B7" s="587">
        <v>13500</v>
      </c>
      <c r="C7" s="587">
        <f>'הכנסות '!E6/1000</f>
        <v>10939.046</v>
      </c>
      <c r="D7" s="587">
        <f>'הכנסות '!F6/1000</f>
        <v>2860.9540000000002</v>
      </c>
      <c r="E7" s="587">
        <v>14527</v>
      </c>
      <c r="F7" s="587">
        <v>13500</v>
      </c>
      <c r="G7" s="587">
        <f>'הכנסות '!I6/1000</f>
        <v>7145.3023599999997</v>
      </c>
      <c r="H7" s="587">
        <f>'הכנסות '!K6/1000</f>
        <v>16360.75</v>
      </c>
      <c r="I7" s="587">
        <f>'הכנסות '!L6/1000</f>
        <v>0</v>
      </c>
      <c r="J7" s="587">
        <f>'הכנסות '!M6/1000</f>
        <v>16360.75</v>
      </c>
      <c r="K7" s="587">
        <f>'הכנסות '!N6/1000</f>
        <v>0</v>
      </c>
      <c r="L7" s="587">
        <f>'הכנסות '!O6/1000</f>
        <v>0</v>
      </c>
      <c r="M7" s="587">
        <f>'הכנסות '!P6/1000</f>
        <v>9908.8050000000003</v>
      </c>
      <c r="N7" s="587">
        <f>'הכנסות '!Q6/1000</f>
        <v>14611.145</v>
      </c>
      <c r="O7" s="587">
        <f>'הכנסות '!R6/1000</f>
        <v>17117</v>
      </c>
      <c r="P7" s="587">
        <f>'הכנסות '!S6/1000</f>
        <v>17877</v>
      </c>
    </row>
    <row r="8" spans="1:16" ht="15.75" x14ac:dyDescent="0.25">
      <c r="A8" s="588" t="s">
        <v>22</v>
      </c>
      <c r="B8" s="587">
        <v>4528</v>
      </c>
      <c r="C8" s="587">
        <f>('הכנסות '!E251+'הכנסות '!E253)/1000</f>
        <v>3767.1950000000002</v>
      </c>
      <c r="D8" s="587">
        <f>('הכנסות '!F251+'הכנסות '!F253)/1000</f>
        <v>1421.8050000000001</v>
      </c>
      <c r="E8" s="587">
        <v>5100</v>
      </c>
      <c r="F8" s="587">
        <v>4528</v>
      </c>
      <c r="G8" s="587">
        <f>('הכנסות '!I251+'הכנסות '!I253)/1000</f>
        <v>2128.1087299999999</v>
      </c>
      <c r="H8" s="587">
        <f>('הכנסות '!K251+'הכנסות '!K253)/1000</f>
        <v>5189</v>
      </c>
      <c r="I8" s="587">
        <f>('הכנסות '!L251+'הכנסות '!L253)/1000</f>
        <v>0</v>
      </c>
      <c r="J8" s="587">
        <f>('הכנסות '!M251+'הכנסות '!M253)/1000</f>
        <v>5189</v>
      </c>
      <c r="K8" s="587">
        <f>('הכנסות '!N251+'הכנסות '!N253)/1000</f>
        <v>3089</v>
      </c>
      <c r="L8" s="587">
        <f>('הכנסות '!O251+'הכנסות '!O253)/1000</f>
        <v>3089</v>
      </c>
      <c r="M8" s="587">
        <f>('הכנסות '!P251+'הכנסות '!P253)/1000</f>
        <v>3352.1379999999999</v>
      </c>
      <c r="N8" s="587">
        <f>('הכנסות '!Q251+'הכנסות '!Q253)/1000</f>
        <v>5222.7479999999996</v>
      </c>
      <c r="O8" s="587">
        <f>'הכנסות '!R256/1000</f>
        <v>5828.75</v>
      </c>
      <c r="P8" s="587">
        <f>('הכנסות '!S251+'הכנסות '!S253)/1000</f>
        <v>1949</v>
      </c>
    </row>
    <row r="9" spans="1:16" ht="15.75" x14ac:dyDescent="0.25">
      <c r="A9" s="588" t="s">
        <v>23</v>
      </c>
      <c r="B9" s="587">
        <v>317</v>
      </c>
      <c r="C9" s="587">
        <f>('הכנסות '!E69+'הכנסות '!E75+'הכנסות '!E96+'הכנסות '!E97+'הכנסות '!E102)/1000</f>
        <v>217.5</v>
      </c>
      <c r="D9" s="587">
        <f>('הכנסות '!F69+'הכנסות '!F75+'הכנסות '!F96+'הכנסות '!F97+'הכנסות '!F102)/1000</f>
        <v>30.396969696969695</v>
      </c>
      <c r="E9" s="587">
        <v>318</v>
      </c>
      <c r="F9" s="587">
        <v>317</v>
      </c>
      <c r="G9" s="587">
        <f>('הכנסות '!I69+'הכנסות '!I75+'הכנסות '!I96+'הכנסות '!I97+'הכנסות '!I102)/1000</f>
        <v>187.68199999999999</v>
      </c>
      <c r="H9" s="587">
        <f>('הכנסות '!K69+'הכנסות '!K75+'הכנסות '!K96+'הכנסות '!K97+'הכנסות '!K102)/1000</f>
        <v>300</v>
      </c>
      <c r="I9" s="587">
        <f>('הכנסות '!L69+'הכנסות '!L75+'הכנסות '!L96+'הכנסות '!L97+'הכנסות '!L102)/1000</f>
        <v>0</v>
      </c>
      <c r="J9" s="587">
        <f>('הכנסות '!M69+'הכנסות '!M75+'הכנסות '!M96+'הכנסות '!M97+'הכנסות '!M102)/1000</f>
        <v>300</v>
      </c>
      <c r="K9" s="587">
        <f>('הכנסות '!N69+'הכנסות '!N75+'הכנסות '!N96+'הכנסות '!N97+'הכנסות '!N102)/1000</f>
        <v>85</v>
      </c>
      <c r="L9" s="587">
        <f>('הכנסות '!O69+'הכנסות '!O75+'הכנסות '!O96+'הכנסות '!O97+'הכנסות '!O102)/1000</f>
        <v>85</v>
      </c>
      <c r="M9" s="587">
        <f>('הכנסות '!P69+'הכנסות '!P75+'הכנסות '!P96+'הכנסות '!P97+'הכנסות '!P102+'הכנסות '!P115+'הכנסות '!P137)/1000</f>
        <v>290.60500000000002</v>
      </c>
      <c r="N9" s="587">
        <f>('הכנסות '!Q69+'הכנסות '!Q75+'הכנסות '!Q96+'הכנסות '!Q97+'הכנסות '!Q102+'הכנסות '!Q115+'הכנסות '!Q137)/1000</f>
        <v>388.8</v>
      </c>
      <c r="O9" s="587">
        <f>('הכנסות '!R69+'הכנסות '!R75+'הכנסות '!R96+'הכנסות '!R97+'הכנסות '!R102+'הכנסות '!R115+'הכנסות '!R137)/1000</f>
        <v>438.46</v>
      </c>
      <c r="P9" s="587">
        <f>('הכנסות '!S69+'הכנסות '!S75+'הכנסות '!S96+'הכנסות '!S97+'הכנסות '!S102+'הכנסות '!S115+'הכנסות '!S137)/1000</f>
        <v>438.46</v>
      </c>
    </row>
    <row r="10" spans="1:16" ht="15.75" x14ac:dyDescent="0.25">
      <c r="A10" s="589" t="s">
        <v>24</v>
      </c>
      <c r="B10" s="587">
        <v>3206</v>
      </c>
      <c r="C10" s="587">
        <f>('הכנסות '!E13+'הכנסות '!E32+'הכנסות '!E34+'הכנסות '!E38+'הכנסות '!E41+'הכנסות '!E51+'הכנסות '!E156+'הכנסות '!E160+'הכנסות '!E244+'הכנסות '!E252+'הכנסות '!E254+'הכנסות '!E255+'הכנסות '!E262+'הכנסות '!E37+'הכנסות '!E35)/1000</f>
        <v>1859.2139999999999</v>
      </c>
      <c r="D10" s="587">
        <f>('הכנסות '!F13+'הכנסות '!F32+'הכנסות '!F34+'הכנסות '!F38+'הכנסות '!F41+'הכנסות '!F51+'הכנסות '!F156+'הכנסות '!F160+'הכנסות '!F244+'הכנסות '!F252+'הכנסות '!F254+'הכנסות '!F255+'הכנסות '!F262+'הכנסות '!F37+'הכנסות '!F35)/1000</f>
        <v>624.73533333333341</v>
      </c>
      <c r="E10" s="587">
        <v>5975</v>
      </c>
      <c r="F10" s="587">
        <v>3206</v>
      </c>
      <c r="G10" s="587">
        <f>('הכנסות '!I13+'הכנסות '!I32+'הכנסות '!I34+'הכנסות '!I38+'הכנסות '!I41+'הכנסות '!I51+'הכנסות '!I156+'הכנסות '!I160+'הכנסות '!I244+'הכנסות '!I252+'הכנסות '!I254+'הכנסות '!I255+'הכנסות '!I262+'הכנסות '!I37+'הכנסות '!I35+'הכנסות '!I272)/1000</f>
        <v>904.43690000000004</v>
      </c>
      <c r="H10" s="587">
        <f>('הכנסות '!K13+'הכנסות '!K32+'הכנסות '!K34+'הכנסות '!K38+'הכנסות '!K41+'הכנסות '!K51+'הכנסות '!K156+'הכנסות '!K160+'הכנסות '!K244+'הכנסות '!K252+'הכנסות '!K254+'הכנסות '!K255+'הכנסות '!K262+'הכנסות '!K37+'הכנסות '!K35+'הכנסות '!K269)/1000</f>
        <v>3276.2370000000001</v>
      </c>
      <c r="I10" s="587">
        <f>('הכנסות '!L13+'הכנסות '!L32+'הכנסות '!L34+'הכנסות '!L38+'הכנסות '!L41+'הכנסות '!L51+'הכנסות '!L156+'הכנסות '!L160+'הכנסות '!L244+'הכנסות '!L252+'הכנסות '!L254+'הכנסות '!L255+'הכנסות '!L262+'הכנסות '!L37+'הכנסות '!L35+'הכנסות '!L269)/1000</f>
        <v>0</v>
      </c>
      <c r="J10" s="587" t="e">
        <f>('הכנסות '!M13+'הכנסות '!M32+'הכנסות '!M34+'הכנסות '!M38+'הכנסות '!M41+'הכנסות '!M51+'הכנסות '!M156+'הכנסות '!M160+'הכנסות '!M244+'הכנסות '!M252+'הכנסות '!M254+'הכנסות '!M255+'הכנסות '!M262+'הכנסות '!M37+'הכנסות '!M35+'הכנסות '!M269)/1000</f>
        <v>#VALUE!</v>
      </c>
      <c r="K10" s="587">
        <f>('הכנסות '!N13+'הכנסות '!N32+'הכנסות '!N34+'הכנסות '!N38+'הכנסות '!N41+'הכנסות '!N51+'הכנסות '!N156+'הכנסות '!N160+'הכנסות '!N244+'הכנסות '!N252+'הכנסות '!N254+'הכנסות '!N255+'הכנסות '!N262+'הכנסות '!N37+'הכנסות '!N35+'הכנסות '!N269)/1000</f>
        <v>1575.422</v>
      </c>
      <c r="L10" s="587">
        <f>('הכנסות '!O13+'הכנסות '!O32+'הכנסות '!O34+'הכנסות '!O38+'הכנסות '!O41+'הכנסות '!O51+'הכנסות '!O156+'הכנסות '!O160+'הכנסות '!O244+'הכנסות '!O252+'הכנסות '!O254+'הכנסות '!O255+'הכנסות '!O262+'הכנסות '!O37+'הכנסות '!O35+'הכנסות '!O269)/1000</f>
        <v>1575.422</v>
      </c>
      <c r="M10" s="587">
        <f>('הכנסות '!P13+'הכנסות '!P32+'הכנסות '!P34+'הכנסות '!P38+'הכנסות '!P41+'הכנסות '!P51+'הכנסות '!P156+'הכנסות '!P160+'הכנסות '!P244+'הכנסות '!P252+'הכנסות '!P254+'הכנסות '!P255+'הכנסות '!P262+'הכנסות '!P37+'הכנסות '!P35+'הכנסות '!P269+'הכנסות '!P154)/1000</f>
        <v>2084.3130000000001</v>
      </c>
      <c r="N10" s="587">
        <f>('הכנסות '!Q13+'הכנסות '!Q32+'הכנסות '!Q34+'הכנסות '!Q38+'הכנסות '!Q41+'הכנסות '!Q51+'הכנסות '!Q156+'הכנסות '!Q160+'הכנסות '!Q244+'הכנסות '!Q252+'הכנסות '!Q254+'הכנסות '!Q255+'הכנסות '!Q262+'הכנסות '!Q37+'הכנסות '!Q35+'הכנסות '!Q269+'הכנסות '!Q154)/1000</f>
        <v>2906.8713333333335</v>
      </c>
      <c r="O10" s="587">
        <f>('הכנסות '!R17+'הכנסות '!R32+'הכנסות '!R34+'הכנסות '!R38+'הכנסות '!R41+'הכנסות '!R51+'הכנסות '!R156+'הכנסות '!R160+'הכנסות '!R244+'הכנסות '!R262+'הכנסות '!R37+'הכנסות '!R35+'הכנסות '!R269+'הכנסות '!R154+'הכנסות '!R46+'הכנסות '!R54)/1000</f>
        <v>3112.8</v>
      </c>
      <c r="P10" s="587">
        <f>('הכנסות '!S17+'הכנסות '!S32+'הכנסות '!S34+'הכנסות '!S38+'הכנסות '!S41+'הכנסות '!S51+'הכנסות '!S156+'הכנסות '!S160+'הכנסות '!S244+'הכנסות '!S252+'הכנסות '!S254+'הכנסות '!S255+'הכנסות '!S262+'הכנסות '!S37+'הכנסות '!S35+'הכנסות '!S269+'הכנסות '!S154)/1000</f>
        <v>3151.8</v>
      </c>
    </row>
    <row r="11" spans="1:16" s="401" customFormat="1" ht="15.75" x14ac:dyDescent="0.25">
      <c r="A11" s="590" t="s">
        <v>25</v>
      </c>
      <c r="B11" s="591">
        <f>SUM(B7:B10)</f>
        <v>21551</v>
      </c>
      <c r="C11" s="591">
        <f t="shared" ref="C11:P11" si="0">SUM(C7:C10)</f>
        <v>16782.955000000002</v>
      </c>
      <c r="D11" s="591">
        <f t="shared" ref="D11:E11" si="1">SUM(D7:D10)</f>
        <v>4937.8913030303029</v>
      </c>
      <c r="E11" s="591">
        <f t="shared" si="1"/>
        <v>25920</v>
      </c>
      <c r="F11" s="591">
        <f t="shared" si="0"/>
        <v>21551</v>
      </c>
      <c r="G11" s="591">
        <f t="shared" si="0"/>
        <v>10365.529990000001</v>
      </c>
      <c r="H11" s="591">
        <f t="shared" si="0"/>
        <v>25125.987000000001</v>
      </c>
      <c r="I11" s="591">
        <f t="shared" si="0"/>
        <v>0</v>
      </c>
      <c r="J11" s="591" t="e">
        <f t="shared" si="0"/>
        <v>#VALUE!</v>
      </c>
      <c r="K11" s="591">
        <f t="shared" si="0"/>
        <v>4749.4220000000005</v>
      </c>
      <c r="L11" s="591">
        <f t="shared" si="0"/>
        <v>4749.4220000000005</v>
      </c>
      <c r="M11" s="591">
        <f t="shared" si="0"/>
        <v>15635.860999999999</v>
      </c>
      <c r="N11" s="591">
        <f t="shared" si="0"/>
        <v>23129.564333333332</v>
      </c>
      <c r="O11" s="591">
        <f t="shared" si="0"/>
        <v>26497.01</v>
      </c>
      <c r="P11" s="591">
        <f t="shared" si="0"/>
        <v>23416.26</v>
      </c>
    </row>
    <row r="12" spans="1:16" ht="15.75" x14ac:dyDescent="0.25">
      <c r="A12" s="588" t="s">
        <v>26</v>
      </c>
      <c r="B12" s="587">
        <v>14479</v>
      </c>
      <c r="C12" s="587">
        <f>'הכנסות '!E151/1000-'טבלה מעודכנת '!C9</f>
        <v>14336.974</v>
      </c>
      <c r="D12" s="587">
        <f>'הכנסות '!F151/1000-'טבלה מעודכנת '!D9</f>
        <v>1303.3612727272725</v>
      </c>
      <c r="E12" s="587">
        <v>16122</v>
      </c>
      <c r="F12" s="587">
        <v>14479</v>
      </c>
      <c r="G12" s="587">
        <f>'הכנסות '!I151/1000-'טבלה מעודכנת '!G9</f>
        <v>7917.70345</v>
      </c>
      <c r="H12" s="587">
        <f>'הכנסות '!K151/1000-'טבלה מעודכנת '!H9</f>
        <v>17477.3</v>
      </c>
      <c r="I12" s="587">
        <f>'הכנסות '!L151/1000-'טבלה מעודכנת '!I9</f>
        <v>0</v>
      </c>
      <c r="J12" s="587" t="e">
        <f>'הכנסות '!M151/1000-'טבלה מעודכנת '!J9</f>
        <v>#VALUE!</v>
      </c>
      <c r="K12" s="587">
        <f>'הכנסות '!N151/1000-'טבלה מעודכנת '!K9</f>
        <v>1038.8441374933334</v>
      </c>
      <c r="L12" s="587">
        <f>'הכנסות '!O151/1000-'טבלה מעודכנת '!L9</f>
        <v>1038.8441374933334</v>
      </c>
      <c r="M12" s="587">
        <f>'הכנסות '!P151/1000-'טבלה מעודכנת '!M9</f>
        <v>11852.493</v>
      </c>
      <c r="N12" s="587">
        <f>'הכנסות '!Q151/1000-'טבלה מעודכנת '!N9</f>
        <v>17314.703666666665</v>
      </c>
      <c r="O12" s="587">
        <f>'הכנסות '!R151/1000-'טבלה מעודכנת '!O9</f>
        <v>18586.949000000001</v>
      </c>
      <c r="P12" s="587">
        <f>'הכנסות '!S151/1000-'טבלה מעודכנת '!P9</f>
        <v>17090.548999999999</v>
      </c>
    </row>
    <row r="13" spans="1:16" ht="15.75" x14ac:dyDescent="0.25">
      <c r="A13" s="588" t="s">
        <v>27</v>
      </c>
      <c r="B13" s="587">
        <v>4151</v>
      </c>
      <c r="C13" s="587">
        <f>'הכנסות '!E242/1000</f>
        <v>4158.5600000000004</v>
      </c>
      <c r="D13" s="587">
        <f>'הכנסות '!F242/1000</f>
        <v>831.71199999999999</v>
      </c>
      <c r="E13" s="587">
        <v>6105</v>
      </c>
      <c r="F13" s="587">
        <v>4151</v>
      </c>
      <c r="G13" s="587" t="e">
        <f>'הכנסות '!I242/1000</f>
        <v>#N/A</v>
      </c>
      <c r="H13" s="587">
        <f>'הכנסות '!K242/1000</f>
        <v>6333.0069999999996</v>
      </c>
      <c r="I13" s="587">
        <f>'הכנסות '!L242/1000</f>
        <v>0</v>
      </c>
      <c r="J13" s="587">
        <f>'הכנסות '!M242/1000</f>
        <v>0</v>
      </c>
      <c r="K13" s="587">
        <f>'הכנסות '!N242/1000</f>
        <v>677.72900000000004</v>
      </c>
      <c r="L13" s="587">
        <f>'הכנסות '!O242/1000</f>
        <v>677.72900000000004</v>
      </c>
      <c r="M13" s="587">
        <f>'הכנסות '!P242/1000</f>
        <v>3903.9659999999999</v>
      </c>
      <c r="N13" s="587">
        <f>'הכנסות '!Q242/1000</f>
        <v>5832.7003333333332</v>
      </c>
      <c r="O13" s="587">
        <f>'הכנסות '!R242/1000</f>
        <v>5609.12075</v>
      </c>
      <c r="P13" s="587">
        <f>'הכנסות '!S242/1000</f>
        <v>5609.12075</v>
      </c>
    </row>
    <row r="14" spans="1:16" ht="15.75" x14ac:dyDescent="0.25">
      <c r="A14" s="588" t="s">
        <v>28</v>
      </c>
      <c r="B14" s="587">
        <v>821</v>
      </c>
      <c r="C14" s="587">
        <f>('הכנסות '!E36+'הכנסות '!E42+'הכנסות '!E153+'הכנסות '!E155+'הכנסות '!E157+'הכנסות '!E161+'הכנסות '!E245)/1000</f>
        <v>2335.808</v>
      </c>
      <c r="D14" s="587">
        <f>('הכנסות '!F36+'הכנסות '!F42+'הכנסות '!F153+'הכנסות '!F155+'הכנסות '!F157+'הכנסות '!F161+'הכנסות '!F245)/1000</f>
        <v>89.926000000000016</v>
      </c>
      <c r="E14" s="587">
        <v>2413</v>
      </c>
      <c r="F14" s="587">
        <v>821</v>
      </c>
      <c r="G14" s="587">
        <f>('הכנסות '!I36+'הכנסות '!I42+'הכנסות '!I153+'הכנסות '!I155+'הכנסות '!I157+'הכנסות '!I161+'הכנסות '!I245)/1000</f>
        <v>166.74799999999999</v>
      </c>
      <c r="H14" s="587">
        <f>('הכנסות '!K36+'הכנסות '!K42+'הכנסות '!K153+'הכנסות '!K155+'הכנסות '!K157+'הכנסות '!K161+'הכנסות '!K245+'הכנסות '!K56)/1000</f>
        <v>645.6</v>
      </c>
      <c r="I14" s="587">
        <f>('הכנסות '!L36+'הכנסות '!L42+'הכנסות '!L153+'הכנסות '!L155+'הכנסות '!L157+'הכנסות '!L161+'הכנסות '!L245+'הכנסות '!L56)/1000</f>
        <v>0</v>
      </c>
      <c r="J14" s="587">
        <f>('הכנסות '!M36+'הכנסות '!M42+'הכנסות '!M153+'הכנסות '!M155+'הכנסות '!M157+'הכנסות '!M161+'הכנסות '!M245+'הכנסות '!M56)/1000</f>
        <v>565.6</v>
      </c>
      <c r="K14" s="587">
        <f>('הכנסות '!N36+'הכנסות '!N42+'הכנסות '!N153+'הכנסות '!N155+'הכנסות '!N157+'הכנסות '!N161+'הכנסות '!N245+'הכנסות '!N56)/1000</f>
        <v>-13.731</v>
      </c>
      <c r="L14" s="587">
        <f>('הכנסות '!O36+'הכנסות '!O42+'הכנסות '!O153+'הכנסות '!O155+'הכנסות '!O157+'הכנסות '!O161+'הכנסות '!O245+'הכנסות '!O56)/1000</f>
        <v>-13.731</v>
      </c>
      <c r="M14" s="587">
        <f>('הכנסות '!P36+'הכנסות '!P42+'הכנסות '!P153+'הכנסות '!P155+'הכנסות '!P157+'הכנסות '!P161+'הכנסות '!P245+'הכנסות '!P56)/1000</f>
        <v>472.95</v>
      </c>
      <c r="N14" s="587">
        <f>('הכנסות '!Q36+'הכנסות '!Q42+'הכנסות '!Q153+'הכנסות '!Q155+'הכנסות '!Q157+'הכנסות '!Q161+'הכנסות '!Q245+'הכנסות '!Q56)/1000</f>
        <v>1068.56</v>
      </c>
      <c r="O14" s="587">
        <f>('הכנסות '!R36+'הכנסות '!R42+'הכנסות '!R153+'הכנסות '!R155+'הכנסות '!R157+'הכנסות '!R161+'הכנסות '!R245+'הכנסות '!R56)/1000</f>
        <v>758.6</v>
      </c>
      <c r="P14" s="587">
        <f>('הכנסות '!S36+'הכנסות '!S42+'הכנסות '!S153+'הכנסות '!S155+'הכנסות '!S157+'הכנסות '!S161+'הכנסות '!S245+'הכנסות '!S56)/1000</f>
        <v>758.6</v>
      </c>
    </row>
    <row r="15" spans="1:16" ht="15.75" x14ac:dyDescent="0.25">
      <c r="A15" s="588" t="s">
        <v>29</v>
      </c>
      <c r="B15" s="587">
        <v>8439</v>
      </c>
      <c r="C15" s="587">
        <f>'הכנסות '!E19/1000</f>
        <v>8801.3150000000005</v>
      </c>
      <c r="D15" s="587">
        <f>'הכנסות '!F19/1000</f>
        <v>800.11954545454546</v>
      </c>
      <c r="E15" s="587">
        <v>10167</v>
      </c>
      <c r="F15" s="587">
        <v>8439</v>
      </c>
      <c r="G15" s="587">
        <f>'הכנסות '!I19/1000</f>
        <v>4688.01</v>
      </c>
      <c r="H15" s="587">
        <f>'הכנסות '!K19/1000</f>
        <v>9169.7999999999993</v>
      </c>
      <c r="I15" s="587">
        <f>'הכנסות '!L19/1000</f>
        <v>0</v>
      </c>
      <c r="J15" s="587">
        <f>'הכנסות '!M19/1000</f>
        <v>10169.799999999999</v>
      </c>
      <c r="K15" s="587">
        <f>'הכנסות '!N19/1000</f>
        <v>0</v>
      </c>
      <c r="L15" s="587">
        <f>'הכנסות '!O19/1000</f>
        <v>0</v>
      </c>
      <c r="M15" s="587">
        <f>'הכנסות '!P19/1000</f>
        <v>7881.1859999999997</v>
      </c>
      <c r="N15" s="587">
        <f>'הכנסות '!Q19/1000</f>
        <v>10458.710999999999</v>
      </c>
      <c r="O15" s="587">
        <f>'הכנסות '!R19/1000</f>
        <v>10545.95</v>
      </c>
      <c r="P15" s="587">
        <f>'הכנסות '!S19/1000</f>
        <v>10545.95</v>
      </c>
    </row>
    <row r="16" spans="1:16" ht="15.75" x14ac:dyDescent="0.25">
      <c r="A16" s="588" t="s">
        <v>30</v>
      </c>
      <c r="B16" s="587">
        <v>0</v>
      </c>
      <c r="C16" s="587">
        <f>'הכנסות '!E21/1000</f>
        <v>529.73500000000001</v>
      </c>
      <c r="D16" s="587">
        <f>'הכנסות '!F21/1000</f>
        <v>176.57833333333335</v>
      </c>
      <c r="E16" s="587">
        <v>0</v>
      </c>
      <c r="F16" s="587">
        <v>0</v>
      </c>
      <c r="G16" s="587">
        <f>'הכנסות '!I21/1000</f>
        <v>518.5</v>
      </c>
      <c r="H16" s="587">
        <f>'הכנסות '!K21/1000</f>
        <v>1037</v>
      </c>
      <c r="I16" s="587">
        <f>'הכנסות '!L21/1000</f>
        <v>0</v>
      </c>
      <c r="J16" s="587">
        <f>'הכנסות '!M21/1000</f>
        <v>0</v>
      </c>
      <c r="K16" s="587">
        <f>'הכנסות '!N21/1000</f>
        <v>-5.9999999999998836</v>
      </c>
      <c r="L16" s="587">
        <f>'הכנסות '!O21/1000</f>
        <v>-5.9999999999998836</v>
      </c>
      <c r="M16" s="587">
        <f>'הכנסות '!P21/1000</f>
        <v>1005.8049999999999</v>
      </c>
      <c r="N16" s="587">
        <f>'הכנסות '!Q21/1000</f>
        <v>1687.6590000000001</v>
      </c>
      <c r="O16" s="587">
        <f>('הכנסות '!R21)/1000</f>
        <v>343</v>
      </c>
      <c r="P16" s="587">
        <f>('הכנסות '!S21)/1000</f>
        <v>343</v>
      </c>
    </row>
    <row r="17" spans="1:16" ht="15.75" x14ac:dyDescent="0.25">
      <c r="A17" s="589" t="s">
        <v>31</v>
      </c>
      <c r="B17" s="587">
        <v>0</v>
      </c>
      <c r="C17" s="587">
        <v>0</v>
      </c>
      <c r="D17" s="587">
        <v>0</v>
      </c>
      <c r="E17" s="587">
        <v>0</v>
      </c>
      <c r="F17" s="587">
        <v>0</v>
      </c>
      <c r="G17" s="587" t="e">
        <f>'הכנסות '!#REF!/1000</f>
        <v>#REF!</v>
      </c>
      <c r="H17" s="587" t="e">
        <f>'הכנסות '!#REF!/1000</f>
        <v>#REF!</v>
      </c>
      <c r="I17" s="587" t="e">
        <f>'הכנסות '!#REF!/1000</f>
        <v>#REF!</v>
      </c>
      <c r="J17" s="587" t="e">
        <f>'הכנסות '!#REF!/1000</f>
        <v>#REF!</v>
      </c>
      <c r="K17" s="587" t="e">
        <f>'הכנסות '!#REF!/1000</f>
        <v>#REF!</v>
      </c>
      <c r="L17" s="587" t="e">
        <f>'הכנסות '!#REF!/1000</f>
        <v>#REF!</v>
      </c>
      <c r="M17" s="587" t="e">
        <f>'הכנסות '!#REF!/1000</f>
        <v>#REF!</v>
      </c>
      <c r="N17" s="587">
        <v>0</v>
      </c>
      <c r="O17" s="587">
        <v>0</v>
      </c>
      <c r="P17" s="587">
        <v>0</v>
      </c>
    </row>
    <row r="18" spans="1:16" s="401" customFormat="1" ht="15.75" x14ac:dyDescent="0.25">
      <c r="A18" s="590" t="s">
        <v>32</v>
      </c>
      <c r="B18" s="591">
        <f>SUM(B12:B17)</f>
        <v>27890</v>
      </c>
      <c r="C18" s="591">
        <f t="shared" ref="C18:P18" si="2">SUM(C12:C17)</f>
        <v>30162.392</v>
      </c>
      <c r="D18" s="591">
        <f t="shared" ref="D18:E18" si="3">SUM(D12:D17)</f>
        <v>3201.6971515151513</v>
      </c>
      <c r="E18" s="591">
        <f t="shared" si="3"/>
        <v>34807</v>
      </c>
      <c r="F18" s="591">
        <f t="shared" si="2"/>
        <v>27890</v>
      </c>
      <c r="G18" s="591" t="e">
        <f t="shared" si="2"/>
        <v>#N/A</v>
      </c>
      <c r="H18" s="591" t="e">
        <f t="shared" si="2"/>
        <v>#REF!</v>
      </c>
      <c r="I18" s="591" t="e">
        <f t="shared" si="2"/>
        <v>#REF!</v>
      </c>
      <c r="J18" s="591" t="e">
        <f t="shared" si="2"/>
        <v>#VALUE!</v>
      </c>
      <c r="K18" s="591" t="e">
        <f t="shared" si="2"/>
        <v>#REF!</v>
      </c>
      <c r="L18" s="591" t="e">
        <f t="shared" si="2"/>
        <v>#REF!</v>
      </c>
      <c r="M18" s="591" t="e">
        <f t="shared" si="2"/>
        <v>#REF!</v>
      </c>
      <c r="N18" s="591">
        <f t="shared" si="2"/>
        <v>36362.334000000003</v>
      </c>
      <c r="O18" s="591">
        <f t="shared" si="2"/>
        <v>35843.619749999998</v>
      </c>
      <c r="P18" s="591">
        <f t="shared" si="2"/>
        <v>34347.219750000004</v>
      </c>
    </row>
    <row r="19" spans="1:16" ht="15.75" x14ac:dyDescent="0.25">
      <c r="A19" s="588" t="s">
        <v>33</v>
      </c>
      <c r="B19" s="587">
        <v>0</v>
      </c>
      <c r="C19" s="587">
        <v>0</v>
      </c>
      <c r="D19" s="587">
        <v>0</v>
      </c>
      <c r="E19" s="587"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0</v>
      </c>
      <c r="K19" s="587">
        <v>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</row>
    <row r="20" spans="1:16" ht="15.75" x14ac:dyDescent="0.25">
      <c r="A20" s="589" t="s">
        <v>34</v>
      </c>
      <c r="B20" s="587">
        <v>300</v>
      </c>
      <c r="C20" s="587">
        <f>('הכנסות '!E266+'הכנסות '!E267+'הכנסות '!E268+'הכנסות '!E271)/1000</f>
        <v>8092.8130000000001</v>
      </c>
      <c r="D20" s="587">
        <f>('הכנסות '!F266+'הכנסות '!F267+'הכנסות '!F268+'הכנסות '!F271)/1000</f>
        <v>130.31266666666664</v>
      </c>
      <c r="E20" s="587">
        <v>9367</v>
      </c>
      <c r="F20" s="587">
        <v>300</v>
      </c>
      <c r="G20" s="587">
        <f>('הכנסות '!I266+'הכנסות '!I267+'הכנסות '!I268+'הכנסות '!I271)/1000</f>
        <v>0</v>
      </c>
      <c r="H20" s="587">
        <f>('הכנסות '!K266+'הכנסות '!K267+'הכנסות '!K268+'הכנסות '!K271)/1000</f>
        <v>100</v>
      </c>
      <c r="I20" s="587">
        <f>('הכנסות '!L266+'הכנסות '!L267+'הכנסות '!L268+'הכנסות '!L271)/1000</f>
        <v>0</v>
      </c>
      <c r="J20" s="587">
        <f>('הכנסות '!M266+'הכנסות '!M267+'הכנסות '!M268+'הכנסות '!M271)/1000</f>
        <v>100</v>
      </c>
      <c r="K20" s="587">
        <f>('הכנסות '!N266+'הכנסות '!N267+'הכנסות '!N268+'הכנסות '!N271)/1000</f>
        <v>-212</v>
      </c>
      <c r="L20" s="587">
        <f>('הכנסות '!O266+'הכנסות '!O267+'הכנסות '!O268+'הכנסות '!O271)/1000</f>
        <v>-212</v>
      </c>
      <c r="M20" s="587">
        <f>('הכנסות '!P266+'הכנסות '!P267+'הכנסות '!P268+'הכנסות '!P271)/1000</f>
        <v>226.136</v>
      </c>
      <c r="N20" s="587">
        <f>('הכנסות '!Q266+'הכנסות '!Q267+'הכנסות '!Q268+'הכנסות '!Q271)/1000</f>
        <v>1180.662</v>
      </c>
      <c r="O20" s="587">
        <f>('הכנסות '!R266+'הכנסות '!R267+'הכנסות '!R268+'הכנסות '!R271)/1000</f>
        <v>260</v>
      </c>
      <c r="P20" s="587">
        <f>('הכנסות '!S266+'הכנסות '!S267+'הכנסות '!S268+'הכנסות '!S271)/1000</f>
        <v>260</v>
      </c>
    </row>
    <row r="21" spans="1:16" s="401" customFormat="1" ht="17.25" customHeight="1" x14ac:dyDescent="0.25">
      <c r="A21" s="590" t="s">
        <v>35</v>
      </c>
      <c r="B21" s="591">
        <f>B11+B18+B19+B20</f>
        <v>49741</v>
      </c>
      <c r="C21" s="591">
        <f t="shared" ref="C21:P21" si="4">C11+C18+C19+C20</f>
        <v>55038.16</v>
      </c>
      <c r="D21" s="591">
        <f t="shared" ref="D21:E21" si="5">D11+D18+D19+D20</f>
        <v>8269.9011212121204</v>
      </c>
      <c r="E21" s="591">
        <f t="shared" si="5"/>
        <v>70094</v>
      </c>
      <c r="F21" s="591">
        <f t="shared" si="4"/>
        <v>49741</v>
      </c>
      <c r="G21" s="591" t="e">
        <f t="shared" si="4"/>
        <v>#N/A</v>
      </c>
      <c r="H21" s="591" t="e">
        <f t="shared" si="4"/>
        <v>#REF!</v>
      </c>
      <c r="I21" s="591" t="e">
        <f t="shared" si="4"/>
        <v>#REF!</v>
      </c>
      <c r="J21" s="591" t="e">
        <f t="shared" si="4"/>
        <v>#VALUE!</v>
      </c>
      <c r="K21" s="591" t="e">
        <f t="shared" si="4"/>
        <v>#REF!</v>
      </c>
      <c r="L21" s="591" t="e">
        <f t="shared" si="4"/>
        <v>#REF!</v>
      </c>
      <c r="M21" s="591" t="e">
        <f t="shared" si="4"/>
        <v>#REF!</v>
      </c>
      <c r="N21" s="591">
        <f t="shared" si="4"/>
        <v>60672.560333333327</v>
      </c>
      <c r="O21" s="591">
        <f t="shared" si="4"/>
        <v>62600.629749999993</v>
      </c>
      <c r="P21" s="591">
        <f t="shared" si="4"/>
        <v>58023.479749999999</v>
      </c>
    </row>
    <row r="22" spans="1:16" ht="15.75" x14ac:dyDescent="0.25">
      <c r="A22" s="588" t="s">
        <v>36</v>
      </c>
      <c r="B22" s="587">
        <f>'הכנסות '!D8/1000</f>
        <v>4270</v>
      </c>
      <c r="C22" s="587">
        <f>'הכנסות '!E8/1000</f>
        <v>3736.6060000000002</v>
      </c>
      <c r="D22" s="587">
        <f>'הכנסות '!F8/1000</f>
        <v>533.39400000000001</v>
      </c>
      <c r="E22" s="587">
        <v>4971</v>
      </c>
      <c r="F22" s="587">
        <f>'הכנסות '!H8/1000</f>
        <v>4270</v>
      </c>
      <c r="G22" s="587">
        <f>'הכנסות '!I8/1000</f>
        <v>1790.769</v>
      </c>
      <c r="H22" s="587">
        <f>'הכנסות '!K8/1000</f>
        <v>4570</v>
      </c>
      <c r="I22" s="587">
        <f>'הכנסות '!L8/1000</f>
        <v>0</v>
      </c>
      <c r="J22" s="587">
        <f>'הכנסות '!M8/1000</f>
        <v>4270</v>
      </c>
      <c r="K22" s="587">
        <f>'הכנסות '!N8/1000</f>
        <v>300</v>
      </c>
      <c r="L22" s="587">
        <f>'הכנסות '!O8/1000</f>
        <v>300</v>
      </c>
      <c r="M22" s="587">
        <f>'הכנסות '!P8/1000</f>
        <v>3912.4450000000002</v>
      </c>
      <c r="N22" s="587">
        <f>'הכנסות '!Q8/1000</f>
        <v>5283.8819999999996</v>
      </c>
      <c r="O22" s="587">
        <f>'הכנסות '!R8/1000</f>
        <v>5284</v>
      </c>
      <c r="P22" s="587">
        <f>'הכנסות '!S8/1000</f>
        <v>5400</v>
      </c>
    </row>
    <row r="23" spans="1:16" ht="15.75" x14ac:dyDescent="0.25">
      <c r="A23" s="589" t="s">
        <v>37</v>
      </c>
      <c r="B23" s="587">
        <f>'הכנסות '!D270</f>
        <v>0</v>
      </c>
      <c r="C23" s="587">
        <f>'הכנסות '!E270/1000</f>
        <v>4598</v>
      </c>
      <c r="D23" s="587">
        <f>'הכנסות '!F270/1000</f>
        <v>0</v>
      </c>
      <c r="E23" s="587">
        <f>'הכנסות '!G270/1000</f>
        <v>4598</v>
      </c>
      <c r="F23" s="587">
        <f>'הכנסות '!H270</f>
        <v>0</v>
      </c>
      <c r="G23" s="587">
        <f>'הכנסות '!I270</f>
        <v>0</v>
      </c>
      <c r="H23" s="587">
        <f>'הכנסות '!J270</f>
        <v>0</v>
      </c>
      <c r="I23" s="587">
        <f>'הכנסות '!K270</f>
        <v>0</v>
      </c>
      <c r="J23" s="587">
        <f>'הכנסות '!L270</f>
        <v>0</v>
      </c>
      <c r="K23" s="587">
        <f>'הכנסות '!M270</f>
        <v>0</v>
      </c>
      <c r="L23" s="587">
        <f>'הכנסות '!N270</f>
        <v>0</v>
      </c>
      <c r="M23" s="587">
        <f>'הכנסות '!P270</f>
        <v>0</v>
      </c>
      <c r="N23" s="587">
        <f>'הכנסות '!Q270</f>
        <v>0</v>
      </c>
      <c r="O23" s="587">
        <f>'הכנסות '!R270</f>
        <v>0</v>
      </c>
      <c r="P23" s="587">
        <f>'הכנסות '!S270</f>
        <v>0</v>
      </c>
    </row>
    <row r="24" spans="1:16" s="401" customFormat="1" ht="15.75" x14ac:dyDescent="0.25">
      <c r="A24" s="590" t="s">
        <v>38</v>
      </c>
      <c r="B24" s="591">
        <f>B21+B22+B23</f>
        <v>54011</v>
      </c>
      <c r="C24" s="591">
        <f t="shared" ref="C24:G24" si="6">C21+C22+C23</f>
        <v>63372.766000000003</v>
      </c>
      <c r="D24" s="591">
        <f t="shared" ref="D24:E24" si="7">D21+D22+D23</f>
        <v>8803.2951212121206</v>
      </c>
      <c r="E24" s="591">
        <f t="shared" si="7"/>
        <v>79663</v>
      </c>
      <c r="F24" s="591">
        <f t="shared" si="6"/>
        <v>54011</v>
      </c>
      <c r="G24" s="591" t="e">
        <f t="shared" si="6"/>
        <v>#N/A</v>
      </c>
      <c r="H24" s="591" t="e">
        <f>H21+H22+H23</f>
        <v>#REF!</v>
      </c>
      <c r="I24" s="591" t="e">
        <f t="shared" ref="I24:M24" si="8">I21+I22+I23</f>
        <v>#REF!</v>
      </c>
      <c r="J24" s="591" t="e">
        <f t="shared" si="8"/>
        <v>#VALUE!</v>
      </c>
      <c r="K24" s="591" t="e">
        <f t="shared" si="8"/>
        <v>#REF!</v>
      </c>
      <c r="L24" s="591" t="e">
        <f t="shared" si="8"/>
        <v>#REF!</v>
      </c>
      <c r="M24" s="591" t="e">
        <f t="shared" si="8"/>
        <v>#REF!</v>
      </c>
      <c r="N24" s="591">
        <f t="shared" ref="N24" si="9">N21+N22+N23</f>
        <v>65956.442333333325</v>
      </c>
      <c r="O24" s="591">
        <f t="shared" ref="O24" si="10">O21+O22+O23</f>
        <v>67884.629749999993</v>
      </c>
      <c r="P24" s="591">
        <f t="shared" ref="P24" si="11">P21+P22+P23</f>
        <v>63423.479749999999</v>
      </c>
    </row>
    <row r="25" spans="1:16" ht="15.75" x14ac:dyDescent="0.25">
      <c r="A25" s="588" t="s">
        <v>39</v>
      </c>
      <c r="B25" s="587">
        <v>0</v>
      </c>
      <c r="C25" s="587">
        <f>'הכנסות '!E20/1000</f>
        <v>1282.856</v>
      </c>
      <c r="D25" s="587">
        <f>'הכנסות '!F20/1000</f>
        <v>116.62327272727272</v>
      </c>
      <c r="E25" s="587"/>
      <c r="F25" s="587">
        <v>0</v>
      </c>
      <c r="G25" s="587">
        <f>'הכנסות '!I20/1000</f>
        <v>564.81700000000001</v>
      </c>
      <c r="H25" s="587">
        <f>'הכנסות '!K20/1000</f>
        <v>1618.2</v>
      </c>
      <c r="I25" s="587">
        <f>'הכנסות '!L20/1000</f>
        <v>0</v>
      </c>
      <c r="J25" s="587">
        <f>'הכנסות '!M20/1000</f>
        <v>1618.2</v>
      </c>
      <c r="K25" s="587">
        <f>'הכנסות '!N20/1000</f>
        <v>0</v>
      </c>
      <c r="L25" s="587">
        <f>'הכנסות '!O20/1000</f>
        <v>0</v>
      </c>
      <c r="M25" s="587">
        <f>'הכנסות '!P20/1000</f>
        <v>564.81700000000001</v>
      </c>
      <c r="N25" s="587">
        <f>'הכנסות '!Q20/1000</f>
        <v>2947.5819999999999</v>
      </c>
      <c r="O25" s="587">
        <f>'הכנסות '!R20/1000</f>
        <v>1861</v>
      </c>
      <c r="P25" s="587">
        <f>'הכנסות '!S20/1000</f>
        <v>1861</v>
      </c>
    </row>
    <row r="26" spans="1:16" s="401" customFormat="1" ht="15.75" x14ac:dyDescent="0.25">
      <c r="A26" s="590" t="s">
        <v>40</v>
      </c>
      <c r="B26" s="591">
        <f>SUM(B24:B25)</f>
        <v>54011</v>
      </c>
      <c r="C26" s="591">
        <f t="shared" ref="C26:G26" si="12">SUM(C24:C25)</f>
        <v>64655.622000000003</v>
      </c>
      <c r="D26" s="591">
        <f t="shared" ref="D26:E26" si="13">SUM(D24:D25)</f>
        <v>8919.9183939393934</v>
      </c>
      <c r="E26" s="591">
        <f t="shared" si="13"/>
        <v>79663</v>
      </c>
      <c r="F26" s="591">
        <f t="shared" si="12"/>
        <v>54011</v>
      </c>
      <c r="G26" s="591" t="e">
        <f t="shared" si="12"/>
        <v>#N/A</v>
      </c>
      <c r="H26" s="591" t="e">
        <f>SUM(H24:H25)</f>
        <v>#REF!</v>
      </c>
      <c r="I26" s="591" t="e">
        <f t="shared" ref="I26:M26" si="14">SUM(I24:I25)</f>
        <v>#REF!</v>
      </c>
      <c r="J26" s="591" t="e">
        <f t="shared" si="14"/>
        <v>#VALUE!</v>
      </c>
      <c r="K26" s="591" t="e">
        <f t="shared" si="14"/>
        <v>#REF!</v>
      </c>
      <c r="L26" s="591" t="e">
        <f t="shared" si="14"/>
        <v>#REF!</v>
      </c>
      <c r="M26" s="591" t="e">
        <f t="shared" si="14"/>
        <v>#REF!</v>
      </c>
      <c r="N26" s="591">
        <f t="shared" ref="N26" si="15">SUM(N24:N25)</f>
        <v>68904.02433333332</v>
      </c>
      <c r="O26" s="591">
        <f t="shared" ref="O26" si="16">SUM(O24:O25)</f>
        <v>69745.629749999993</v>
      </c>
      <c r="P26" s="591">
        <f>SUM(P24:P25)+1</f>
        <v>65285.479749999999</v>
      </c>
    </row>
    <row r="27" spans="1:16" ht="15.75" x14ac:dyDescent="0.25">
      <c r="A27" s="585"/>
      <c r="B27" s="723">
        <f>B26-'הכנסות '!D274/1000</f>
        <v>-15489.176566666662</v>
      </c>
      <c r="C27" s="723">
        <f>C26-'הכנסות '!E274/1000</f>
        <v>-287.71600000000035</v>
      </c>
      <c r="D27" s="723"/>
      <c r="E27" s="723">
        <f>E26-'הכנסות '!G274/1000</f>
        <v>5703.8382727272692</v>
      </c>
      <c r="F27" s="723">
        <f>F26-'הכנסות '!H274/1000</f>
        <v>-5748.5858625066685</v>
      </c>
      <c r="G27" s="723"/>
      <c r="H27" s="723"/>
      <c r="I27" s="723"/>
      <c r="J27" s="723"/>
      <c r="K27" s="723"/>
      <c r="L27" s="723"/>
      <c r="M27" s="723"/>
      <c r="N27" s="723"/>
      <c r="O27" s="723"/>
      <c r="P27" s="723"/>
    </row>
    <row r="28" spans="1:16" ht="18.75" x14ac:dyDescent="0.2">
      <c r="A28" s="1314" t="s">
        <v>41</v>
      </c>
      <c r="B28" s="1315"/>
      <c r="C28" s="1315"/>
      <c r="D28" s="1315"/>
      <c r="E28" s="1315"/>
      <c r="F28" s="1315"/>
      <c r="G28" s="1315"/>
      <c r="H28" s="1315"/>
      <c r="I28" s="1316"/>
      <c r="K28" s="350"/>
    </row>
    <row r="29" spans="1:16" ht="15.75" x14ac:dyDescent="0.25">
      <c r="A29" s="588" t="s">
        <v>42</v>
      </c>
      <c r="B29" s="592">
        <v>10395</v>
      </c>
      <c r="C29" s="592">
        <v>5025</v>
      </c>
      <c r="D29" s="592">
        <v>5026</v>
      </c>
      <c r="E29" s="592">
        <v>9803</v>
      </c>
      <c r="F29" s="592">
        <v>10395</v>
      </c>
      <c r="G29" s="592">
        <f>('הוצאות '!J10+'הוצאות '!J14+'הוצאות '!J16+'הוצאות '!J18+'הוצאות '!J26+'הוצאות '!J27+'הוצאות '!J37+'הוצאות '!J40+'הוצאות '!J42+'הוצאות '!J67+'הוצאות '!J68+'הוצאות '!J71+'הוצאות '!J75+'הוצאות '!J76+'הוצאות '!J91+'הוצאות '!J100+'הוצאות '!J244+'הוצאות '!J245+'הוצאות '!J251+'הוצאות '!J257+'הוצאות '!J263+'הוצאות '!J273+'הוצאות '!J384+'הוצאות '!J416+'הוצאות '!J417)/1000</f>
        <v>4707.0469999999996</v>
      </c>
      <c r="H29" s="592">
        <f>('הוצאות '!K10+'הוצאות '!K14+'הוצאות '!K16+'הוצאות '!K18+'הוצאות '!K26+'הוצאות '!K27+'הוצאות '!K37+'הוצאות '!K40+'הוצאות '!K42+'הוצאות '!K67+'הוצאות '!K68+'הוצאות '!K71+'הוצאות '!K75+'הוצאות '!K76+'הוצאות '!K91+'הוצאות '!K100+'הוצאות '!K244+'הוצאות '!K245+'הוצאות '!K251+'הוצאות '!K257+'הוצאות '!K263+'הוצאות '!K273+'הוצאות '!K384+'הוצאות '!K416+'הוצאות '!K417+'הוצאות '!K81)/1000-962</f>
        <v>10322.954416666666</v>
      </c>
      <c r="I29" s="592" t="e">
        <f>('הוצאות '!L10+'הוצאות '!L14+'הוצאות '!L16+'הוצאות '!L18+'הוצאות '!L26+'הוצאות '!L27+'הוצאות '!L37+'הוצאות '!L40+'הוצאות '!L42+'הוצאות '!L67+'הוצאות '!L68+'הוצאות '!L71+'הוצאות '!L75+'הוצאות '!L76+'הוצאות '!L91+'הוצאות '!L100+'הוצאות '!L244+'הוצאות '!L245+'הוצאות '!L251+'הוצאות '!L257+'הוצאות '!L263+'הוצאות '!L273+'הוצאות '!L384+'הוצאות '!L416+'הוצאות '!L417+'הוצאות '!L81)/1000-962</f>
        <v>#VALUE!</v>
      </c>
      <c r="J29" s="592">
        <f>('הוצאות '!M10+'הוצאות '!M14+'הוצאות '!M16+'הוצאות '!M18+'הוצאות '!M26+'הוצאות '!M27+'הוצאות '!M37+'הוצאות '!M40+'הוצאות '!M42+'הוצאות '!M67+'הוצאות '!M68+'הוצאות '!M71+'הוצאות '!M75+'הוצאות '!M76+'הוצאות '!M91+'הוצאות '!M100+'הוצאות '!M244+'הוצאות '!M245+'הוצאות '!M251+'הוצאות '!M257+'הוצאות '!M263+'הוצאות '!M273+'הוצאות '!M384+'הוצאות '!M416+'הוצאות '!M417+'הוצאות '!M81)/1000-962</f>
        <v>-962</v>
      </c>
      <c r="K29" s="592">
        <f>('הוצאות '!N10+'הוצאות '!N14+'הוצאות '!N16+'הוצאות '!N18+'הוצאות '!N26+'הוצאות '!N27+'הוצאות '!N37+'הוצאות '!N40+'הוצאות '!N42+'הוצאות '!N67+'הוצאות '!N68+'הוצאות '!N71+'הוצאות '!N75+'הוצאות '!N76+'הוצאות '!N91+'הוצאות '!N100+'הוצאות '!N244+'הוצאות '!N245+'הוצאות '!N251+'הוצאות '!N257+'הוצאות '!N263+'הוצאות '!N273+'הוצאות '!N384+'הוצאות '!N416+'הוצאות '!N417+'הוצאות '!N81)/1000-962</f>
        <v>-962</v>
      </c>
      <c r="L29" s="592">
        <f>('הוצאות '!O10+'הוצאות '!O14+'הוצאות '!O16+'הוצאות '!O18+'הוצאות '!O26+'הוצאות '!O27+'הוצאות '!O37+'הוצאות '!O40+'הוצאות '!O42+'הוצאות '!O67+'הוצאות '!O68+'הוצאות '!O71+'הוצאות '!O75+'הוצאות '!O76+'הוצאות '!O91+'הוצאות '!O100+'הוצאות '!O244+'הוצאות '!O245+'הוצאות '!O251+'הוצאות '!O257+'הוצאות '!O263+'הוצאות '!O273+'הוצאות '!O384+'הוצאות '!O416+'הוצאות '!O417+'הוצאות '!O81)/1000-962</f>
        <v>-962</v>
      </c>
      <c r="M29" s="592">
        <f>('הוצאות '!P10+'הוצאות '!P14+'הוצאות '!P16+'הוצאות '!P18+'הוצאות '!P26+'הוצאות '!P27+'הוצאות '!P37+'הוצאות '!P40+'הוצאות '!P42+'הוצאות '!P67+'הוצאות '!P68+'הוצאות '!P71+'הוצאות '!P75+'הוצאות '!P76+'הוצאות '!P91+'הוצאות '!P100+'הוצאות '!P244+'הוצאות '!P245+'הוצאות '!P251+'הוצאות '!P257+'הוצאות '!P263+'הוצאות '!P273+'הוצאות '!P384+'הוצאות '!P416+'הוצאות '!P417+'הוצאות '!P81)/1000</f>
        <v>7156.0512299999991</v>
      </c>
      <c r="N29" s="592">
        <f>('הוצאות '!Q10+'הוצאות '!Q14+'הוצאות '!Q16+'הוצאות '!Q18+'הוצאות '!Q26+'הוצאות '!Q27+'הוצאות '!Q37+'הוצאות '!Q40+'הוצאות '!Q42+'הוצאות '!Q67+'הוצאות '!Q68+'הוצאות '!Q71+'הוצאות '!Q75+'הוצאות '!Q76+'הוצאות '!Q91+'הוצאות '!Q100+'הוצאות '!Q244+'הוצאות '!Q245+'הוצאות '!Q251+'הוצאות '!Q257+'הוצאות '!Q263+'הוצאות '!Q273+'הוצאות '!Q384+'הוצאות '!Q416+'הוצאות '!Q417+'הוצאות '!Q81)/1000</f>
        <v>9506.4336999999996</v>
      </c>
      <c r="O29" s="592">
        <f>('הוצאות '!R10+'הוצאות '!R14+'הוצאות '!R16+'הוצאות '!R18+'הוצאות '!R26+'הוצאות '!R27+'הוצאות '!R37+'הוצאות '!R40+'הוצאות '!R42+'הוצאות '!R67+'הוצאות '!R68+'הוצאות '!R71+'הוצאות '!R75+'הוצאות '!R76+'הוצאות '!R91+'הוצאות '!R100+'הוצאות '!R244+'הוצאות '!R245+'הוצאות '!R251+'הוצאות '!R257+'הוצאות '!R263+'הוצאות '!R273+'הוצאות '!R384+'הוצאות '!R416+'הוצאות '!R417+'הוצאות '!R81)/1000</f>
        <v>10481.009325980953</v>
      </c>
      <c r="P29" s="592">
        <f>('הוצאות '!S10+'הוצאות '!S14+'הוצאות '!S16+'הוצאות '!S18+'הוצאות '!S26+'הוצאות '!S27+'הוצאות '!S37+'הוצאות '!S40+'הוצאות '!S42+'הוצאות '!S67+'הוצאות '!S68+'הוצאות '!S71+'הוצאות '!S75+'הוצאות '!S76+'הוצאות '!S91+'הוצאות '!S100+'הוצאות '!S244+'הוצאות '!S245+'הוצאות '!S251+'הוצאות '!S257+'הוצאות '!S263+'הוצאות '!S273+'הוצאות '!S384+'הוצאות '!S416+'הוצאות '!S417+'הוצאות '!S81)/1000</f>
        <v>10116.42366317943</v>
      </c>
    </row>
    <row r="30" spans="1:16" ht="15.75" x14ac:dyDescent="0.25">
      <c r="A30" s="588" t="s">
        <v>43</v>
      </c>
      <c r="B30" s="592">
        <v>11003</v>
      </c>
      <c r="C30" s="592">
        <f ca="1">('הוצאות '!F35+'הוצאות '!F51+'הוצאות '!F79+'הוצאות '!F89+'הוצאות '!F97+'הוצאות '!F113+'הוצאות '!F117+'הוצאות '!F121+'הוצאות '!F271+'הוצאות '!F281+'הוצאות '!F375+'הוצאות '!F380+'הוצאות '!F399+'הוצאות '!F410+'הוצאות '!F416+'הוצאות '!F384-'הוצאות '!F404-'הוצאות '!F405-'הוצאות '!F406)/1000-C29</f>
        <v>14380.178</v>
      </c>
      <c r="D30" s="592">
        <f ca="1">('הוצאות '!G35+'הוצאות '!G51+'הוצאות '!G79+'הוצאות '!G89+'הוצאות '!G97+'הוצאות '!G113+'הוצאות '!G117+'הוצאות '!G121+'הוצאות '!G271+'הוצאות '!G281+'הוצאות '!G375+'הוצאות '!G380+'הוצאות '!G399+'הוצאות '!G410+'הוצאות '!G416+'הוצאות '!G384-'הוצאות '!G404-'הוצאות '!G405-'הוצאות '!G406)/1000-D29</f>
        <v>-833.57996363636357</v>
      </c>
      <c r="E30" s="592">
        <v>14380</v>
      </c>
      <c r="F30" s="592">
        <v>11003</v>
      </c>
      <c r="G30" s="592">
        <f ca="1">('הוצאות '!J35+'הוצאות '!J51+'הוצאות '!J79+'הוצאות '!J89+'הוצאות '!J97+'הוצאות '!J113+'הוצאות '!J117+'הוצאות '!J121+'הוצאות '!J271+'הוצאות '!J281+'הוצאות '!J375+'הוצאות '!J380+'הוצאות '!J399+'הוצאות '!J410+'הוצאות '!J416+'הוצאות '!J384-'הוצאות '!J404-'הוצאות '!J405-'הוצאות '!J406+'הוצאות '!J412)/1000-G29</f>
        <v>6219.9980000000005</v>
      </c>
      <c r="H30" s="592">
        <f ca="1">('הוצאות '!K35+'הוצאות '!K51+'הוצאות '!K79+'הוצאות '!K89+'הוצאות '!K97+'הוצאות '!K113+'הוצאות '!K117+'הוצאות '!K121+'הוצאות '!K271+'הוצאות '!K281+'הוצאות '!K375+'הוצאות '!K380+'הוצאות '!K399+'הוצאות '!K410+'הוצאות '!K416+'הוצאות '!K384-'הוצאות '!K404-'הוצאות '!K405-'הוצאות '!K406+'הוצאות '!K412+'הוצאות '!K417)/1000-H29-962</f>
        <v>15596.273000000001</v>
      </c>
      <c r="I30" s="592" t="e">
        <f ca="1">('הוצאות '!L35+'הוצאות '!L51+'הוצאות '!L79+'הוצאות '!L89+'הוצאות '!L97+'הוצאות '!L113+'הוצאות '!L117+'הוצאות '!L121+'הוצאות '!L271+'הוצאות '!L281+'הוצאות '!L375+'הוצאות '!L380+'הוצאות '!L399+'הוצאות '!L410+'הוצאות '!L416+'הוצאות '!L384-'הוצאות '!L404-'הוצאות '!L405-'הוצאות '!L406+'הוצאות '!L412+'הוצאות '!L417)/1000-I29-962</f>
        <v>#VALUE!</v>
      </c>
      <c r="J30" s="592">
        <f ca="1">('הוצאות '!M35+'הוצאות '!M51+'הוצאות '!M79+'הוצאות '!M89+'הוצאות '!M97+'הוצאות '!M113+'הוצאות '!M117+'הוצאות '!M121+'הוצאות '!M271+'הוצאות '!M281+'הוצאות '!M375+'הוצאות '!M380+'הוצאות '!M399+'הוצאות '!M410+'הוצאות '!M416+'הוצאות '!M384-'הוצאות '!M404-'הוצאות '!M405-'הוצאות '!M406+'הוצאות '!M412+'הוצאות '!M417)/1000-J29-962</f>
        <v>0</v>
      </c>
      <c r="K30" s="592">
        <f ca="1">('הוצאות '!N35+'הוצאות '!N51+'הוצאות '!N79+'הוצאות '!N89+'הוצאות '!N97+'הוצאות '!N113+'הוצאות '!N117+'הוצאות '!N121+'הוצאות '!N271+'הוצאות '!N281+'הוצאות '!N375+'הוצאות '!N380+'הוצאות '!N399+'הוצאות '!N410+'הוצאות '!N416+'הוצאות '!N384-'הוצאות '!N404-'הוצאות '!N405-'הוצאות '!N406+'הוצאות '!N412+'הוצאות '!N417)/1000-K29-962</f>
        <v>0</v>
      </c>
      <c r="L30" s="592">
        <f ca="1">('הוצאות '!O35+'הוצאות '!O51+'הוצאות '!O79+'הוצאות '!O89+'הוצאות '!O97+'הוצאות '!O113+'הוצאות '!O117+'הוצאות '!O121+'הוצאות '!O271+'הוצאות '!O281+'הוצאות '!O375+'הוצאות '!O380+'הוצאות '!O399+'הוצאות '!O410+'הוצאות '!O416+'הוצאות '!O384-'הוצאות '!O404-'הוצאות '!O405-'הוצאות '!O406+'הוצאות '!O412+'הוצאות '!O417)/1000-L29-962</f>
        <v>0</v>
      </c>
      <c r="M30" s="592">
        <f ca="1">('הוצאות '!P35+'הוצאות '!P51+'הוצאות '!P79+'הוצאות '!P89+'הוצאות '!P97+'הוצאות '!P113+'הוצאות '!P117+'הוצאות '!P121+'הוצאות '!P271+'הוצאות '!P281+'הוצאות '!P375+'הוצאות '!P380+'הוצאות '!P399+'הוצאות '!P410+'הוצאות '!P416+'הוצאות '!P384-'הוצאות '!P404-'הוצאות '!P405-'הוצאות '!P406+'הוצאות '!P412+'הוצאות '!P417)/1000-M29</f>
        <v>9846.3930000000018</v>
      </c>
      <c r="N30" s="592">
        <f ca="1">('הוצאות '!Q35+'הוצאות '!Q51+'הוצאות '!Q79+'הוצאות '!Q89+'הוצאות '!Q97+'הוצאות '!Q113+'הוצאות '!Q117+'הוצאות '!Q121+'הוצאות '!Q271+'הוצאות '!Q281+'הוצאות '!Q375+'הוצאות '!Q380+'הוצאות '!Q399+'הוצאות '!Q410+'הוצאות '!Q416+'הוצאות '!Q384-'הוצאות '!Q404-'הוצאות '!Q405-'הוצאות '!Q406+'הוצאות '!Q412+'הוצאות '!Q417)/1000-N29</f>
        <v>14752.532333333331</v>
      </c>
      <c r="O30" s="592">
        <f ca="1">('הוצאות '!R35+'הוצאות '!R51+'הוצאות '!R79+'הוצאות '!R89+'הוצאות '!R97+'הוצאות '!R113+'הוצאות '!R117+'הוצאות '!R121+'הוצאות '!R271+'הוצאות '!R281+'הוצאות '!R375+'הוצאות '!R380+'הוצאות '!R399+'הוצאות '!R410+'הוצאות '!R416-'הוצאות '!R404-'הוצאות '!R405-'הוצאות '!R406+'הוצאות '!R412+'הוצאות '!R417)/1000-O29</f>
        <v>13709.427561800005</v>
      </c>
      <c r="P30" s="592">
        <f ca="1">('הוצאות '!S35+'הוצאות '!S51+'הוצאות '!S79+'הוצאות '!S89+'הוצאות '!S97+'הוצאות '!S113+'הוצאות '!S117+'הוצאות '!S121+'הוצאות '!S271+'הוצאות '!S281+'הוצאות '!S375+'הוצאות '!S380+'הוצאות '!S399+'הוצאות '!S410+'הוצאות '!S416+'הוצאות '!S384-'הוצאות '!S404-'הוצאות '!S405-'הוצאות '!S406+'הוצאות '!S412+'הוצאות '!S417)/1000-P29</f>
        <v>12431.826999999997</v>
      </c>
    </row>
    <row r="31" spans="1:16" ht="15.75" x14ac:dyDescent="0.25">
      <c r="A31" s="589" t="s">
        <v>22</v>
      </c>
      <c r="B31" s="592">
        <v>8024</v>
      </c>
      <c r="C31" s="592">
        <f>('הוצאות '!F394-'הוצאות '!F384)/1000</f>
        <v>10089.316000000001</v>
      </c>
      <c r="D31" s="592">
        <f>('הוצאות '!G394-'הוצאות '!G384)/1000</f>
        <v>1459.2585454545451</v>
      </c>
      <c r="E31" s="592">
        <v>10334</v>
      </c>
      <c r="F31" s="592">
        <v>8024</v>
      </c>
      <c r="G31" s="592">
        <f>('הוצאות '!J394-'הוצאות '!J384)/1000</f>
        <v>3341.252</v>
      </c>
      <c r="H31" s="592">
        <f>('הוצאות '!K394-'הוצאות '!K384)/1000</f>
        <v>11638.168</v>
      </c>
      <c r="I31" s="592">
        <f>('הוצאות '!L394-'הוצאות '!L384)/1000</f>
        <v>0</v>
      </c>
      <c r="J31" s="592">
        <f>('הוצאות '!M394-'הוצאות '!M384)/1000</f>
        <v>0</v>
      </c>
      <c r="K31" s="592">
        <f>('הוצאות '!N394-'הוצאות '!N384)/1000</f>
        <v>0</v>
      </c>
      <c r="L31" s="592">
        <f>('הוצאות '!O394-'הוצאות '!O384)/1000</f>
        <v>0</v>
      </c>
      <c r="M31" s="592">
        <f>('הוצאות '!P394-'הוצאות '!P384)/1000</f>
        <v>5269.424</v>
      </c>
      <c r="N31" s="592">
        <f>('הוצאות '!Q394-'הוצאות '!Q384)/1000</f>
        <v>6741.55</v>
      </c>
      <c r="O31" s="592">
        <f>'הוצאות '!R394/1000</f>
        <v>6729.8064381999993</v>
      </c>
      <c r="P31" s="592">
        <f>('הוצאות '!S394-'הוצאות '!S384)/1000</f>
        <v>0</v>
      </c>
    </row>
    <row r="32" spans="1:16" s="401" customFormat="1" ht="15.75" x14ac:dyDescent="0.25">
      <c r="A32" s="590" t="s">
        <v>44</v>
      </c>
      <c r="B32" s="591">
        <f>SUM(B29:B31)</f>
        <v>29422</v>
      </c>
      <c r="C32" s="591">
        <f t="shared" ref="C32" ca="1" si="17">SUM(C29:C31)</f>
        <v>29494.493999999999</v>
      </c>
      <c r="D32" s="591">
        <f t="shared" ref="D32" ca="1" si="18">SUM(D29:D31)</f>
        <v>5651.6785818181816</v>
      </c>
      <c r="E32" s="591">
        <f>SUM(E29:E31)</f>
        <v>34517</v>
      </c>
      <c r="F32" s="591">
        <f>SUM(F29:F31)</f>
        <v>29422</v>
      </c>
      <c r="G32" s="591">
        <f t="shared" ref="G32" ca="1" si="19">SUM(G29:G31)</f>
        <v>14268.297</v>
      </c>
      <c r="H32" s="591">
        <f ca="1">SUM(H29:H31)</f>
        <v>37557.395416666666</v>
      </c>
      <c r="I32" s="591" t="e">
        <f t="shared" ref="I32:M32" si="20">SUM(I29:I31)</f>
        <v>#VALUE!</v>
      </c>
      <c r="J32" s="591">
        <f t="shared" ca="1" si="20"/>
        <v>-962</v>
      </c>
      <c r="K32" s="591">
        <f t="shared" ca="1" si="20"/>
        <v>-962</v>
      </c>
      <c r="L32" s="591">
        <f t="shared" ca="1" si="20"/>
        <v>-962</v>
      </c>
      <c r="M32" s="591">
        <f t="shared" ca="1" si="20"/>
        <v>22271.86823</v>
      </c>
      <c r="N32" s="591">
        <f t="shared" ref="N32" ca="1" si="21">SUM(N29:N31)</f>
        <v>31000.51603333333</v>
      </c>
      <c r="O32" s="591">
        <f t="shared" ref="O32" ca="1" si="22">SUM(O29:O31)</f>
        <v>30920.243325980955</v>
      </c>
      <c r="P32" s="591">
        <f t="shared" ref="P32" ca="1" si="23">SUM(P29:P31)</f>
        <v>22548.250663179428</v>
      </c>
    </row>
    <row r="33" spans="1:16" ht="15.75" x14ac:dyDescent="0.25">
      <c r="A33" s="588" t="s">
        <v>45</v>
      </c>
      <c r="B33" s="592">
        <v>8547</v>
      </c>
      <c r="C33" s="592">
        <v>5208</v>
      </c>
      <c r="D33" s="592">
        <v>5209</v>
      </c>
      <c r="E33" s="592">
        <v>10326</v>
      </c>
      <c r="F33" s="592">
        <v>8547</v>
      </c>
      <c r="G33" s="592">
        <f>('הוצאות '!J125+'הוצאות '!J136+'הוצאות '!J139+'הוצאות '!J140+'הוצאות '!J141+'הוצאות '!J153+'הוצאות '!J157+'הוצאות '!J158+'הוצאות '!J160+'הוצאות '!J166+'הוצאות '!J173+'הוצאות '!J174+'הוצאות '!J175+'הוצאות '!J181+'הוצאות '!J183+'הוצאות '!J184+'הוצאות '!J188+'הוצאות '!J197+'הוצאות '!J200+'הוצאות '!J202+'הוצאות '!J203+'הוצאות '!J205+'הוצאות '!J214+'הוצאות '!J218+'הוצאות '!J219+'הוצאות '!J229+'הוצאות '!J236)/1000</f>
        <v>6262.6080000000002</v>
      </c>
      <c r="H33" s="592">
        <f>('הוצאות '!K125+'הוצאות '!K136+'הוצאות '!K139+'הוצאות '!K140+'הוצאות '!K141+'הוצאות '!K153+'הוצאות '!K157+'הוצאות '!K158+'הוצאות '!K160+'הוצאות '!K166+'הוצאות '!K173+'הוצאות '!K174+'הוצאות '!K175+'הוצאות '!K181+'הוצאות '!K183+'הוצאות '!K184+'הוצאות '!K188+'הוצאות '!K197+'הוצאות '!K200+'הוצאות '!K202+'הוצאות '!K203+'הוצאות '!K205+'הוצאות '!K214+'הוצאות '!K218+'הוצאות '!K219+'הוצאות '!K229+'הוצאות '!K236)/1000</f>
        <v>11021.975</v>
      </c>
      <c r="I33" s="592">
        <f>('הוצאות '!L125+'הוצאות '!L136+'הוצאות '!L139+'הוצאות '!L140+'הוצאות '!L141+'הוצאות '!L153+'הוצאות '!L157+'הוצאות '!L158+'הוצאות '!L160+'הוצאות '!L166+'הוצאות '!L173+'הוצאות '!L174+'הוצאות '!L175+'הוצאות '!L181+'הוצאות '!L183+'הוצאות '!L184+'הוצאות '!L188+'הוצאות '!L197+'הוצאות '!L200+'הוצאות '!L202+'הוצאות '!L203+'הוצאות '!L205+'הוצאות '!L214+'הוצאות '!L218+'הוצאות '!L219+'הוצאות '!L229+'הוצאות '!L236)/1000</f>
        <v>0</v>
      </c>
      <c r="J33" s="592">
        <f>('הוצאות '!M125+'הוצאות '!M136+'הוצאות '!M139+'הוצאות '!M140+'הוצאות '!M141+'הוצאות '!M153+'הוצאות '!M157+'הוצאות '!M158+'הוצאות '!M160+'הוצאות '!M166+'הוצאות '!M173+'הוצאות '!M174+'הוצאות '!M175+'הוצאות '!M181+'הוצאות '!M183+'הוצאות '!M184+'הוצאות '!M188+'הוצאות '!M197+'הוצאות '!M200+'הוצאות '!M202+'הוצאות '!M203+'הוצאות '!M205+'הוצאות '!M214+'הוצאות '!M218+'הוצאות '!M219+'הוצאות '!M229+'הוצאות '!M236)/1000</f>
        <v>0</v>
      </c>
      <c r="K33" s="592">
        <f>('הוצאות '!N125+'הוצאות '!N136+'הוצאות '!N139+'הוצאות '!N140+'הוצאות '!N141+'הוצאות '!N153+'הוצאות '!N157+'הוצאות '!N158+'הוצאות '!N160+'הוצאות '!N166+'הוצאות '!N173+'הוצאות '!N174+'הוצאות '!N175+'הוצאות '!N181+'הוצאות '!N183+'הוצאות '!N184+'הוצאות '!N188+'הוצאות '!N197+'הוצאות '!N200+'הוצאות '!N202+'הוצאות '!N203+'הוצאות '!N205+'הוצאות '!N214+'הוצאות '!N218+'הוצאות '!N219+'הוצאות '!N229+'הוצאות '!N236)/1000</f>
        <v>0</v>
      </c>
      <c r="L33" s="592">
        <f>('הוצאות '!O125+'הוצאות '!O136+'הוצאות '!O139+'הוצאות '!O140+'הוצאות '!O141+'הוצאות '!O153+'הוצאות '!O157+'הוצאות '!O158+'הוצאות '!O160+'הוצאות '!O166+'הוצאות '!O173+'הוצאות '!O174+'הוצאות '!O175+'הוצאות '!O181+'הוצאות '!O183+'הוצאות '!O184+'הוצאות '!O188+'הוצאות '!O197+'הוצאות '!O200+'הוצאות '!O202+'הוצאות '!O203+'הוצאות '!O205+'הוצאות '!O214+'הוצאות '!O218+'הוצאות '!O219+'הוצאות '!O229+'הוצאות '!O236)/1000</f>
        <v>0</v>
      </c>
      <c r="M33" s="592">
        <f>('הוצאות '!P125+'הוצאות '!P136+'הוצאות '!P139+'הוצאות '!P140+'הוצאות '!P141+'הוצאות '!P153+'הוצאות '!P157+'הוצאות '!P158+'הוצאות '!P160+'הוצאות '!P166+'הוצאות '!P173+'הוצאות '!P174+'הוצאות '!P175+'הוצאות '!P181+'הוצאות '!P183+'הוצאות '!P184+'הוצאות '!P188+'הוצאות '!P197+'הוצאות '!P200+'הוצאות '!P202+'הוצאות '!P203+'הוצאות '!P205+'הוצאות '!P214+'הוצאות '!P218+'הוצאות '!P219+'הוצאות '!P229+'הוצאות '!P236+'הוצאות '!P142+'הוצאות '!P143+'הוצאות '!P144+'הוצאות '!P152+'הוצאות '!P162+'הוצאות '!P163+'הוצאות '!P182+'הוצאות '!P185)/1000</f>
        <v>8987.3196200000002</v>
      </c>
      <c r="N33" s="592">
        <f>('הוצאות '!Q125+'הוצאות '!Q136+'הוצאות '!Q139+'הוצאות '!Q140+'הוצאות '!Q141+'הוצאות '!Q153+'הוצאות '!Q157+'הוצאות '!Q158+'הוצאות '!Q160+'הוצאות '!Q166+'הוצאות '!Q173+'הוצאות '!Q174+'הוצאות '!Q175+'הוצאות '!Q181+'הוצאות '!Q183+'הוצאות '!Q184+'הוצאות '!Q188+'הוצאות '!Q197+'הוצאות '!Q200+'הוצאות '!Q202+'הוצאות '!Q203+'הוצאות '!Q205+'הוצאות '!Q214+'הוצאות '!Q218+'הוצאות '!Q219+'הוצאות '!Q229+'הוצאות '!Q236+'הוצאות '!Q142+'הוצאות '!Q143+'הוצאות '!Q144+'הוצאות '!Q152+'הוצאות '!Q162+'הוצאות '!Q163+'הוצאות '!Q182+'הוצאות '!Q185)/1000</f>
        <v>11485.897999999999</v>
      </c>
      <c r="O33" s="592">
        <f>('הוצאות '!R125+'הוצאות '!R136+'הוצאות '!R139+'הוצאות '!R140+'הוצאות '!R141+'הוצאות '!R153+'הוצאות '!R157+'הוצאות '!R158+'הוצאות '!R160+'הוצאות '!R166+'הוצאות '!R173+'הוצאות '!R174+'הוצאות '!R175+'הוצאות '!R181+'הוצאות '!R183+'הוצאות '!R184+'הוצאות '!R188+'הוצאות '!R197+'הוצאות '!R200+'הוצאות '!R202+'הוצאות '!R203+'הוצאות '!R205+'הוצאות '!R214+'הוצאות '!R218+'הוצאות '!R219+'הוצאות '!R229+'הוצאות '!R236+'הוצאות '!R142+'הוצאות '!R143+'הוצאות '!R144+'הוצאות '!R152+'הוצאות '!R162+'הוצאות '!R163+'הוצאות '!R182+'הוצאות '!R185)/1000</f>
        <v>10768.643644599999</v>
      </c>
      <c r="P33" s="592">
        <f>('הוצאות '!S125+'הוצאות '!S136+'הוצאות '!S139+'הוצאות '!S140+'הוצאות '!S141+'הוצאות '!S153+'הוצאות '!S157+'הוצאות '!S158+'הוצאות '!S160+'הוצאות '!S166+'הוצאות '!S173+'הוצאות '!S174+'הוצאות '!S175+'הוצאות '!S181+'הוצאות '!S183+'הוצאות '!S184+'הוצאות '!S188+'הוצאות '!S197+'הוצאות '!S200+'הוצאות '!S202+'הוצאות '!S203+'הוצאות '!S205+'הוצאות '!S214+'הוצאות '!S218+'הוצאות '!S219+'הוצאות '!S229+'הוצאות '!S236)/1000</f>
        <v>7914.5662311599999</v>
      </c>
    </row>
    <row r="34" spans="1:16" ht="15.75" x14ac:dyDescent="0.25">
      <c r="A34" s="589" t="s">
        <v>46</v>
      </c>
      <c r="B34" s="592">
        <v>9907</v>
      </c>
      <c r="C34" s="592">
        <f>'הוצאות '!F240/1000-'טבלה מעודכנת '!C33</f>
        <v>12179.212</v>
      </c>
      <c r="D34" s="592">
        <f>'הוצאות '!G240/1000-'טבלה מעודכנת '!D33</f>
        <v>-1054.4573818181816</v>
      </c>
      <c r="E34" s="592">
        <v>10399</v>
      </c>
      <c r="F34" s="592">
        <v>9907</v>
      </c>
      <c r="G34" s="592">
        <f>'הוצאות '!J240/1000-'טבלה מעודכנת '!G33</f>
        <v>5055.5239999999994</v>
      </c>
      <c r="H34" s="592">
        <f>'הוצאות '!K240/1000-'טבלה מעודכנת '!H33</f>
        <v>12474.257</v>
      </c>
      <c r="I34" s="592">
        <f>'הוצאות '!L240/1000-'טבלה מעודכנת '!I33</f>
        <v>0</v>
      </c>
      <c r="J34" s="592">
        <f>'הוצאות '!M240/1000-'טבלה מעודכנת '!J33</f>
        <v>0</v>
      </c>
      <c r="K34" s="592">
        <f>'הוצאות '!N240/1000-'טבלה מעודכנת '!K33</f>
        <v>0</v>
      </c>
      <c r="L34" s="592">
        <f>'הוצאות '!O240/1000-'טבלה מעודכנת '!L33</f>
        <v>0</v>
      </c>
      <c r="M34" s="592">
        <f>'הוצאות '!P240/1000-'טבלה מעודכנת '!M33</f>
        <v>8471.3009999999977</v>
      </c>
      <c r="N34" s="592">
        <f>'הוצאות '!Q240/1000-'טבלה מעודכנת '!N33</f>
        <v>11808.45466666667</v>
      </c>
      <c r="O34" s="592">
        <f>'הוצאות '!R240/1000-'טבלה מעודכנת '!O33</f>
        <v>12130.801777866671</v>
      </c>
      <c r="P34" s="592">
        <f>'הוצאות '!S240/1000-'טבלה מעודכנת '!P33</f>
        <v>14399.784720240001</v>
      </c>
    </row>
    <row r="35" spans="1:16" s="401" customFormat="1" ht="15.75" x14ac:dyDescent="0.25">
      <c r="A35" s="590" t="s">
        <v>47</v>
      </c>
      <c r="B35" s="591">
        <f>SUM(B33:B34)</f>
        <v>18454</v>
      </c>
      <c r="C35" s="591">
        <f t="shared" ref="C35:G35" si="24">SUM(C33:C34)</f>
        <v>17387.212</v>
      </c>
      <c r="D35" s="591">
        <f t="shared" ref="D35" si="25">SUM(D33:D34)</f>
        <v>4154.5426181818184</v>
      </c>
      <c r="E35" s="591">
        <f>SUM(E33:E34)</f>
        <v>20725</v>
      </c>
      <c r="F35" s="591">
        <f t="shared" si="24"/>
        <v>18454</v>
      </c>
      <c r="G35" s="591">
        <f t="shared" si="24"/>
        <v>11318.132</v>
      </c>
      <c r="H35" s="591">
        <f>SUM(H33:H34)</f>
        <v>23496.232</v>
      </c>
      <c r="I35" s="591">
        <f t="shared" ref="I35:M35" si="26">SUM(I33:I34)</f>
        <v>0</v>
      </c>
      <c r="J35" s="591">
        <f t="shared" si="26"/>
        <v>0</v>
      </c>
      <c r="K35" s="591">
        <f t="shared" si="26"/>
        <v>0</v>
      </c>
      <c r="L35" s="591">
        <f t="shared" si="26"/>
        <v>0</v>
      </c>
      <c r="M35" s="591">
        <f t="shared" si="26"/>
        <v>17458.620619999998</v>
      </c>
      <c r="N35" s="591">
        <f t="shared" ref="N35" si="27">SUM(N33:N34)</f>
        <v>23294.352666666669</v>
      </c>
      <c r="O35" s="591">
        <f t="shared" ref="O35" si="28">SUM(O33:O34)</f>
        <v>22899.44542246667</v>
      </c>
      <c r="P35" s="591">
        <f t="shared" ref="P35" si="29">SUM(P33:P34)</f>
        <v>22314.3509514</v>
      </c>
    </row>
    <row r="36" spans="1:16" ht="15.75" x14ac:dyDescent="0.25">
      <c r="A36" s="588" t="s">
        <v>48</v>
      </c>
      <c r="B36" s="592">
        <v>1873</v>
      </c>
      <c r="C36" s="592">
        <v>1208</v>
      </c>
      <c r="D36" s="592">
        <v>1209</v>
      </c>
      <c r="E36" s="592">
        <v>2231</v>
      </c>
      <c r="F36" s="592">
        <v>1873</v>
      </c>
      <c r="G36" s="592">
        <f>('הוצאות '!J283+'הוצאות '!J292+'הוצאות '!J293+'הוצאות '!J334)/1000</f>
        <v>1205.9179999999999</v>
      </c>
      <c r="H36" s="592">
        <f>('הוצאות '!K283+'הוצאות '!K292+'הוצאות '!K293+'הוצאות '!K334)/1000</f>
        <v>2825.8180000000002</v>
      </c>
      <c r="I36" s="592">
        <f>('הוצאות '!L283+'הוצאות '!L292+'הוצאות '!L293+'הוצאות '!L334)/1000</f>
        <v>0</v>
      </c>
      <c r="J36" s="592">
        <f>('הוצאות '!M283+'הוצאות '!M292+'הוצאות '!M293+'הוצאות '!M334)/1000</f>
        <v>0</v>
      </c>
      <c r="K36" s="592">
        <f>('הוצאות '!N283+'הוצאות '!N292+'הוצאות '!N293+'הוצאות '!N334)/1000</f>
        <v>0</v>
      </c>
      <c r="L36" s="592">
        <f>('הוצאות '!O283+'הוצאות '!O292+'הוצאות '!O293+'הוצאות '!O334)/1000</f>
        <v>0</v>
      </c>
      <c r="M36" s="592">
        <f>('הוצאות '!P283+'הוצאות '!P292+'הוצאות '!P293+'הוצאות '!P334)/1000</f>
        <v>1800.8310800000002</v>
      </c>
      <c r="N36" s="592">
        <f>('הוצאות '!Q283+'הוצאות '!Q292+'הוצאות '!Q293+'הוצאות '!Q334)/1000</f>
        <v>2351.77</v>
      </c>
      <c r="O36" s="592">
        <f>('הוצאות '!R283+'הוצאות '!R292+'הוצאות '!R293+'הוצאות '!R334)/1000</f>
        <v>2366.2627040666666</v>
      </c>
      <c r="P36" s="592">
        <f>('הוצאות '!S283+'הוצאות '!S292+'הוצאות '!S293+'הוצאות '!S334)/1000</f>
        <v>2413.5879581479999</v>
      </c>
    </row>
    <row r="37" spans="1:16" ht="15.75" x14ac:dyDescent="0.25">
      <c r="A37" s="589" t="s">
        <v>49</v>
      </c>
      <c r="B37" s="592">
        <v>4820</v>
      </c>
      <c r="C37" s="592">
        <f>'הוצאות '!F372/1000-'טבלה מעודכנת '!C36</f>
        <v>5533.3580000000002</v>
      </c>
      <c r="D37" s="592">
        <f>'הוצאות '!G372/1000-'טבלה מעודכנת '!D36</f>
        <v>-249.76679999999988</v>
      </c>
      <c r="E37" s="592">
        <v>5767</v>
      </c>
      <c r="F37" s="592">
        <v>4820</v>
      </c>
      <c r="G37" s="592">
        <f>'הוצאות '!J372/1000-'טבלה מעודכנת '!G36</f>
        <v>2836.0219999999999</v>
      </c>
      <c r="H37" s="592">
        <f>'הוצאות '!K372/1000-'טבלה מעודכנת '!H36</f>
        <v>5651.7040000000006</v>
      </c>
      <c r="I37" s="592">
        <f>'הוצאות '!L372/1000-'טבלה מעודכנת '!I36</f>
        <v>0</v>
      </c>
      <c r="J37" s="592">
        <f>'הוצאות '!M372/1000-'טבלה מעודכנת '!J36</f>
        <v>0</v>
      </c>
      <c r="K37" s="592">
        <f>'הוצאות '!N372/1000-'טבלה מעודכנת '!K36</f>
        <v>0</v>
      </c>
      <c r="L37" s="592">
        <f>'הוצאות '!O372/1000-'טבלה מעודכנת '!L36</f>
        <v>0</v>
      </c>
      <c r="M37" s="592">
        <f>'הוצאות '!P372/1000-'טבלה מעודכנת '!M36</f>
        <v>4669.4719999999998</v>
      </c>
      <c r="N37" s="592">
        <f>'הוצאות '!Q372/1000-'טבלה מעודכנת '!N36</f>
        <v>6264.8709999999992</v>
      </c>
      <c r="O37" s="592">
        <f>'הוצאות '!R372/1000-'טבלה מעודכנת '!O36</f>
        <v>6012.5067500000005</v>
      </c>
      <c r="P37" s="592">
        <f>'הוצאות '!S372/1000-'טבלה מעודכנת '!P36</f>
        <v>6012.5067499999986</v>
      </c>
    </row>
    <row r="38" spans="1:16" s="401" customFormat="1" ht="15.75" x14ac:dyDescent="0.25">
      <c r="A38" s="590" t="s">
        <v>50</v>
      </c>
      <c r="B38" s="591">
        <f>SUM(B36:B37)</f>
        <v>6693</v>
      </c>
      <c r="C38" s="591">
        <f t="shared" ref="C38:G38" si="30">SUM(C36:C37)</f>
        <v>6741.3580000000002</v>
      </c>
      <c r="D38" s="591">
        <f t="shared" ref="D38" si="31">SUM(D36:D37)</f>
        <v>959.23320000000012</v>
      </c>
      <c r="E38" s="591">
        <f>SUM(E36:E37)</f>
        <v>7998</v>
      </c>
      <c r="F38" s="591">
        <f t="shared" si="30"/>
        <v>6693</v>
      </c>
      <c r="G38" s="591">
        <f t="shared" si="30"/>
        <v>4041.9399999999996</v>
      </c>
      <c r="H38" s="591">
        <f>SUM(H36:H37)</f>
        <v>8477.5220000000008</v>
      </c>
      <c r="I38" s="591">
        <f t="shared" ref="I38:M38" si="32">SUM(I36:I37)</f>
        <v>0</v>
      </c>
      <c r="J38" s="591">
        <f t="shared" si="32"/>
        <v>0</v>
      </c>
      <c r="K38" s="591">
        <f t="shared" si="32"/>
        <v>0</v>
      </c>
      <c r="L38" s="591">
        <f t="shared" si="32"/>
        <v>0</v>
      </c>
      <c r="M38" s="591">
        <f t="shared" si="32"/>
        <v>6470.3030799999997</v>
      </c>
      <c r="N38" s="591">
        <f t="shared" ref="N38" si="33">SUM(N36:N37)</f>
        <v>8616.6409999999996</v>
      </c>
      <c r="O38" s="591">
        <f t="shared" ref="O38" si="34">SUM(O36:O37)</f>
        <v>8378.7694540666671</v>
      </c>
      <c r="P38" s="591">
        <f t="shared" ref="P38" si="35">SUM(P36:P37)</f>
        <v>8426.094708147999</v>
      </c>
    </row>
    <row r="39" spans="1:16" ht="15.75" x14ac:dyDescent="0.25">
      <c r="A39" s="588" t="s">
        <v>51</v>
      </c>
      <c r="B39" s="592">
        <v>2257</v>
      </c>
      <c r="C39" s="592">
        <f>('הוצאות '!F404+'הוצאות '!F405+'הוצאות '!F406)/1000</f>
        <v>2127.2600000000002</v>
      </c>
      <c r="D39" s="592">
        <f>('הוצאות '!G404+'הוצאות '!G405+'הוצאות '!G406)/1000</f>
        <v>193.38727272727274</v>
      </c>
      <c r="E39" s="592">
        <v>2127</v>
      </c>
      <c r="F39" s="592">
        <v>2257</v>
      </c>
      <c r="G39" s="592">
        <f>('הוצאות '!J404+'הוצאות '!J405+'הוצאות '!J406)/1000</f>
        <v>1026.479</v>
      </c>
      <c r="H39" s="592">
        <f>('הוצאות '!K404+'הוצאות '!K405+'הוצאות '!K406)/1000</f>
        <v>2320.6469999999999</v>
      </c>
      <c r="I39" s="592">
        <f>('הוצאות '!L404+'הוצאות '!L405+'הוצאות '!L406)/1000</f>
        <v>0</v>
      </c>
      <c r="J39" s="592">
        <f>('הוצאות '!M404+'הוצאות '!M405+'הוצאות '!M406)/1000</f>
        <v>0</v>
      </c>
      <c r="K39" s="592">
        <f>('הוצאות '!N404+'הוצאות '!N405+'הוצאות '!N406)/1000</f>
        <v>0</v>
      </c>
      <c r="L39" s="592">
        <f>('הוצאות '!O404+'הוצאות '!O405+'הוצאות '!O406)/1000</f>
        <v>0</v>
      </c>
      <c r="M39" s="592">
        <f>('הוצאות '!P404+'הוצאות '!P405+'הוצאות '!P406)/1000</f>
        <v>1538.3510000000001</v>
      </c>
      <c r="N39" s="592">
        <f>('הוצאות '!Q404+'הוצאות '!Q405+'הוצאות '!Q406)/1000</f>
        <v>2042.692</v>
      </c>
      <c r="O39" s="592">
        <f>('הוצאות '!R404+'הוצאות '!R405+'הוצאות '!R406)/1000</f>
        <v>2042.6</v>
      </c>
      <c r="P39" s="592">
        <f>('הוצאות '!S404+'הוצאות '!S405+'הוצאות '!S406)/1000</f>
        <v>0</v>
      </c>
    </row>
    <row r="40" spans="1:16" ht="15.75" x14ac:dyDescent="0.25">
      <c r="A40" s="589" t="s">
        <v>52</v>
      </c>
      <c r="B40" s="592">
        <v>2202</v>
      </c>
      <c r="C40" s="592">
        <f>'הוצאות '!F61/1000</f>
        <v>8972.3029999999999</v>
      </c>
      <c r="D40" s="592">
        <f>'הוצאות '!G61/1000</f>
        <v>0</v>
      </c>
      <c r="E40" s="592">
        <v>9022</v>
      </c>
      <c r="F40" s="592">
        <v>2202</v>
      </c>
      <c r="G40" s="592">
        <f>'הוצאות '!J61/1000</f>
        <v>578.14200000000005</v>
      </c>
      <c r="H40" s="592">
        <f>'הוצאות '!K61/1000</f>
        <v>1156.2840000000001</v>
      </c>
      <c r="I40" s="592">
        <f>'הוצאות '!L61/1000</f>
        <v>0</v>
      </c>
      <c r="J40" s="592">
        <f>'הוצאות '!M61/1000</f>
        <v>0</v>
      </c>
      <c r="K40" s="592">
        <f>'הוצאות '!N61/1000</f>
        <v>0</v>
      </c>
      <c r="L40" s="592">
        <f>'הוצאות '!O61/1000</f>
        <v>0</v>
      </c>
      <c r="M40" s="592">
        <f>'הוצאות '!P61/1000</f>
        <v>810.56200000000001</v>
      </c>
      <c r="N40" s="592">
        <f>'הוצאות '!Q61/1000</f>
        <v>1349.1210000000001</v>
      </c>
      <c r="O40" s="592">
        <f>'הוצאות '!R61/1000</f>
        <v>2026</v>
      </c>
      <c r="P40" s="592">
        <f>'הוצאות '!S61/1000</f>
        <v>4542</v>
      </c>
    </row>
    <row r="41" spans="1:16" s="401" customFormat="1" ht="15.75" x14ac:dyDescent="0.25">
      <c r="A41" s="590" t="s">
        <v>53</v>
      </c>
      <c r="B41" s="591">
        <f>SUM(B39:B40)</f>
        <v>4459</v>
      </c>
      <c r="C41" s="591">
        <f t="shared" ref="C41:P41" si="36">SUM(C39:C40)</f>
        <v>11099.563</v>
      </c>
      <c r="D41" s="591">
        <f t="shared" ref="D41" si="37">SUM(D39:D40)</f>
        <v>193.38727272727274</v>
      </c>
      <c r="E41" s="591">
        <f>SUM(E39:E40)</f>
        <v>11149</v>
      </c>
      <c r="F41" s="591">
        <f t="shared" si="36"/>
        <v>4459</v>
      </c>
      <c r="G41" s="591">
        <f t="shared" si="36"/>
        <v>1604.6210000000001</v>
      </c>
      <c r="H41" s="591">
        <f t="shared" si="36"/>
        <v>3476.931</v>
      </c>
      <c r="I41" s="591">
        <f t="shared" si="36"/>
        <v>0</v>
      </c>
      <c r="J41" s="591">
        <f t="shared" si="36"/>
        <v>0</v>
      </c>
      <c r="K41" s="591">
        <f t="shared" si="36"/>
        <v>0</v>
      </c>
      <c r="L41" s="591">
        <f t="shared" si="36"/>
        <v>0</v>
      </c>
      <c r="M41" s="591">
        <f t="shared" si="36"/>
        <v>2348.913</v>
      </c>
      <c r="N41" s="591">
        <f t="shared" si="36"/>
        <v>3391.8130000000001</v>
      </c>
      <c r="O41" s="591">
        <f t="shared" si="36"/>
        <v>4068.6</v>
      </c>
      <c r="P41" s="591">
        <f t="shared" si="36"/>
        <v>4542</v>
      </c>
    </row>
    <row r="42" spans="1:16" ht="15.75" x14ac:dyDescent="0.25">
      <c r="A42" s="588" t="s">
        <v>54</v>
      </c>
      <c r="B42" s="592">
        <v>2009</v>
      </c>
      <c r="C42" s="592">
        <f>'הוצאות '!F56/1000</f>
        <v>3347.819</v>
      </c>
      <c r="D42" s="592">
        <f>'הוצאות '!G56/1000</f>
        <v>304.34718181818181</v>
      </c>
      <c r="E42" s="592">
        <v>3017</v>
      </c>
      <c r="F42" s="592">
        <v>2009</v>
      </c>
      <c r="G42" s="592">
        <f>'הוצאות '!J56/1000</f>
        <v>994.67200000000003</v>
      </c>
      <c r="H42" s="592">
        <f>'הוצאות '!K56/1000</f>
        <v>1989.3440000000001</v>
      </c>
      <c r="I42" s="592">
        <f>'הוצאות '!L56/1000</f>
        <v>0</v>
      </c>
      <c r="J42" s="592">
        <f>'הוצאות '!M56/1000</f>
        <v>0</v>
      </c>
      <c r="K42" s="592">
        <f>'הוצאות '!N56/1000</f>
        <v>0</v>
      </c>
      <c r="L42" s="592">
        <f>'הוצאות '!O56/1000</f>
        <v>0</v>
      </c>
      <c r="M42" s="592">
        <f>'הוצאות '!P56/1000</f>
        <v>1685.7929999999999</v>
      </c>
      <c r="N42" s="592">
        <f>'הוצאות '!Q56/1000</f>
        <v>2469.21</v>
      </c>
      <c r="O42" s="592">
        <f>'הוצאות '!R56/1000</f>
        <v>2225</v>
      </c>
      <c r="P42" s="592">
        <f>'הוצאות '!S56/1000</f>
        <v>300</v>
      </c>
    </row>
    <row r="43" spans="1:16" ht="15.75" x14ac:dyDescent="0.25">
      <c r="A43" s="589" t="s">
        <v>55</v>
      </c>
      <c r="B43" s="592">
        <v>55</v>
      </c>
      <c r="C43" s="592">
        <f>('הוצאות '!F413+'הוצאות '!F414)/1000</f>
        <v>1682.164</v>
      </c>
      <c r="D43" s="592">
        <f>('הוצאות '!G413+'הוצאות '!G414)/1000</f>
        <v>0.27272727272727276</v>
      </c>
      <c r="E43" s="592">
        <v>3974</v>
      </c>
      <c r="F43" s="592">
        <v>55</v>
      </c>
      <c r="G43" s="592">
        <f>('הוצאות '!J413+'הוצאות '!J414)/1000+מוניצ!V170/1000</f>
        <v>668.09100000000001</v>
      </c>
      <c r="H43" s="592">
        <f>('הוצאות '!K413+'הוצאות '!K414)/1000+מוניצ!W170/1000+962</f>
        <v>1771</v>
      </c>
      <c r="I43" s="592">
        <f>('הוצאות '!L413+'הוצאות '!L414)/1000+מוניצ!X170/1000+962</f>
        <v>962</v>
      </c>
      <c r="J43" s="592">
        <f>('הוצאות '!M413+'הוצאות '!M414)/1000+מוניצ!Y170/1000+962</f>
        <v>962</v>
      </c>
      <c r="K43" s="592">
        <f>('הוצאות '!N413+'הוצאות '!N414)/1000+מוניצ!Z170/1000+962</f>
        <v>962</v>
      </c>
      <c r="L43" s="592">
        <f>('הוצאות '!O413+'הוצאות '!O414)/1000+מוניצ!AA170/1000+962</f>
        <v>962</v>
      </c>
      <c r="M43" s="592">
        <f>('הוצאות '!P413+'הוצאות '!P414)/1000+מוניצ!AB170/1000</f>
        <v>1109.08</v>
      </c>
      <c r="N43" s="592">
        <f>('הוצאות '!Q413+'הוצאות '!Q414)/1000+מוניצ!AC170/1000</f>
        <v>1780.6110000000001</v>
      </c>
      <c r="O43" s="592">
        <f>('הוצאות '!R413+'הוצאות '!R414)/1000+מוניצ!AD170/1000</f>
        <v>9</v>
      </c>
      <c r="P43" s="592">
        <f>('הוצאות '!S413+'הוצאות '!S414)/1000+מוניצ!AE170/1000</f>
        <v>9</v>
      </c>
    </row>
    <row r="44" spans="1:16" s="401" customFormat="1" ht="31.5" x14ac:dyDescent="0.2">
      <c r="A44" s="879" t="s">
        <v>56</v>
      </c>
      <c r="B44" s="591">
        <f>B32+B35+B38+B41+B42+B43</f>
        <v>61092</v>
      </c>
      <c r="C44" s="591">
        <f t="shared" ref="C44:G44" ca="1" si="38">C32+C35+C38+C41+C42+C43</f>
        <v>69752.61</v>
      </c>
      <c r="D44" s="591">
        <f t="shared" ref="D44" ca="1" si="39">D32+D35+D38+D41+D42+D43</f>
        <v>11263.461581818183</v>
      </c>
      <c r="E44" s="591">
        <f>E32+E35+E38+E41+E42+E43</f>
        <v>81380</v>
      </c>
      <c r="F44" s="591">
        <f>F32+F35+F38+F41+F42+F43</f>
        <v>61092</v>
      </c>
      <c r="G44" s="591">
        <f t="shared" ca="1" si="38"/>
        <v>32895.752999999997</v>
      </c>
      <c r="H44" s="591">
        <f ca="1">H32+H35+H38+H41+H42+H43</f>
        <v>76768.424416666661</v>
      </c>
      <c r="I44" s="591" t="e">
        <f t="shared" ref="I44:M44" si="40">I32+I35+I38+I41+I42+I43</f>
        <v>#VALUE!</v>
      </c>
      <c r="J44" s="591">
        <f t="shared" ca="1" si="40"/>
        <v>0</v>
      </c>
      <c r="K44" s="591">
        <f t="shared" ca="1" si="40"/>
        <v>0</v>
      </c>
      <c r="L44" s="591">
        <f t="shared" ca="1" si="40"/>
        <v>0</v>
      </c>
      <c r="M44" s="591">
        <f t="shared" ca="1" si="40"/>
        <v>51344.577929999992</v>
      </c>
      <c r="N44" s="591">
        <f t="shared" ref="N44" ca="1" si="41">N32+N35+N38+N41+N42+N43</f>
        <v>70553.143700000001</v>
      </c>
      <c r="O44" s="591">
        <f t="shared" ref="O44" ca="1" si="42">O32+O35+O38+O41+O42+O43</f>
        <v>68501.058202514294</v>
      </c>
      <c r="P44" s="591">
        <f t="shared" ref="P44" ca="1" si="43">P32+P35+P38+P41+P42+P43</f>
        <v>58139.696322727425</v>
      </c>
    </row>
    <row r="45" spans="1:16" ht="15.75" x14ac:dyDescent="0.25">
      <c r="A45" s="588" t="s">
        <v>57</v>
      </c>
      <c r="B45" s="592">
        <f>'הוצאות '!E415/1000</f>
        <v>4270</v>
      </c>
      <c r="C45" s="592">
        <f>'הוצאות '!F415/1000</f>
        <v>3736.6060000000002</v>
      </c>
      <c r="D45" s="592">
        <f>'הוצאות '!G415/1000</f>
        <v>533.39400000000001</v>
      </c>
      <c r="E45" s="592">
        <v>4598</v>
      </c>
      <c r="F45" s="592">
        <f>'הוצאות '!I415/1000</f>
        <v>4270</v>
      </c>
      <c r="G45" s="592">
        <f>'הוצאות '!J415/1000</f>
        <v>1790.769</v>
      </c>
      <c r="H45" s="592">
        <f>'הוצאות '!K415/1000</f>
        <v>4570</v>
      </c>
      <c r="I45" s="592">
        <f>'הוצאות '!L415/1000</f>
        <v>0</v>
      </c>
      <c r="J45" s="592">
        <f>'הוצאות '!M415/1000</f>
        <v>0</v>
      </c>
      <c r="K45" s="592">
        <f>'הוצאות '!N415/1000</f>
        <v>0</v>
      </c>
      <c r="L45" s="592">
        <f>'הוצאות '!O415/1000</f>
        <v>0</v>
      </c>
      <c r="M45" s="592">
        <f>'הוצאות '!P415/1000</f>
        <v>3912.4450000000002</v>
      </c>
      <c r="N45" s="592">
        <f>'הוצאות '!Q415/1000</f>
        <v>5256.4269999999997</v>
      </c>
      <c r="O45" s="592">
        <f>'הוצאות '!R415/1000</f>
        <v>5284</v>
      </c>
      <c r="P45" s="592">
        <f>'הוצאות '!S415/1000</f>
        <v>5284</v>
      </c>
    </row>
    <row r="46" spans="1:16" ht="15.75" x14ac:dyDescent="0.25">
      <c r="A46" s="589" t="s">
        <v>58</v>
      </c>
      <c r="B46" s="592">
        <f>'הוצאות '!E418</f>
        <v>0</v>
      </c>
      <c r="C46" s="592">
        <f>'הוצאות '!F418/1000</f>
        <v>4598</v>
      </c>
      <c r="D46" s="592">
        <f>'הוצאות '!G418/1000</f>
        <v>0</v>
      </c>
      <c r="E46" s="592">
        <v>4971</v>
      </c>
      <c r="F46" s="592">
        <f>'הוצאות '!I418</f>
        <v>0</v>
      </c>
      <c r="G46" s="592">
        <f>'הוצאות '!J418</f>
        <v>0</v>
      </c>
      <c r="H46" s="592">
        <f>'הוצאות '!K418</f>
        <v>0</v>
      </c>
      <c r="I46" s="592">
        <f>'הוצאות '!L418</f>
        <v>0</v>
      </c>
      <c r="J46" s="592">
        <f>'הוצאות '!M418</f>
        <v>0</v>
      </c>
      <c r="K46" s="592">
        <f>'הוצאות '!N418</f>
        <v>0</v>
      </c>
      <c r="L46" s="592">
        <f>'הוצאות '!O418</f>
        <v>0</v>
      </c>
      <c r="M46" s="592">
        <f>'הוצאות '!P418</f>
        <v>0</v>
      </c>
      <c r="N46" s="592">
        <f>'הוצאות '!Q418</f>
        <v>0</v>
      </c>
      <c r="O46" s="592">
        <f>'הוצאות '!R418</f>
        <v>0</v>
      </c>
      <c r="P46" s="592">
        <f>'הוצאות '!S418</f>
        <v>0</v>
      </c>
    </row>
    <row r="47" spans="1:16" s="401" customFormat="1" ht="15.75" x14ac:dyDescent="0.25">
      <c r="A47" s="590" t="s">
        <v>59</v>
      </c>
      <c r="B47" s="591">
        <f>B44+B45+B46</f>
        <v>65362</v>
      </c>
      <c r="C47" s="591">
        <f t="shared" ref="C47:G47" ca="1" si="44">C44+C45+C46</f>
        <v>78087.216</v>
      </c>
      <c r="D47" s="591">
        <f t="shared" ref="D47" ca="1" si="45">D44+D45+D46</f>
        <v>11796.855581818183</v>
      </c>
      <c r="E47" s="591">
        <f>E44+E45+E46</f>
        <v>90949</v>
      </c>
      <c r="F47" s="591">
        <f>F44+F45+F46</f>
        <v>65362</v>
      </c>
      <c r="G47" s="591">
        <f t="shared" ca="1" si="44"/>
        <v>34686.521999999997</v>
      </c>
      <c r="H47" s="591">
        <f ca="1">H44+H45+H46</f>
        <v>81338.424416666661</v>
      </c>
      <c r="I47" s="591" t="e">
        <f t="shared" ref="I47:M47" si="46">I44+I45+I46</f>
        <v>#VALUE!</v>
      </c>
      <c r="J47" s="591">
        <f t="shared" ca="1" si="46"/>
        <v>0</v>
      </c>
      <c r="K47" s="591">
        <f t="shared" ca="1" si="46"/>
        <v>0</v>
      </c>
      <c r="L47" s="591">
        <f t="shared" ca="1" si="46"/>
        <v>0</v>
      </c>
      <c r="M47" s="591">
        <f t="shared" ca="1" si="46"/>
        <v>55257.022929999992</v>
      </c>
      <c r="N47" s="591">
        <f t="shared" ref="N47" ca="1" si="47">N44+N45+N46</f>
        <v>75809.570699999997</v>
      </c>
      <c r="O47" s="591">
        <f t="shared" ref="O47" ca="1" si="48">O44+O45+O46</f>
        <v>73785.058202514294</v>
      </c>
      <c r="P47" s="591">
        <f t="shared" ref="P47" ca="1" si="49">P44+P45+P46</f>
        <v>63423.696322727425</v>
      </c>
    </row>
    <row r="48" spans="1:16" ht="15.75" x14ac:dyDescent="0.25">
      <c r="A48" s="588" t="s">
        <v>60</v>
      </c>
      <c r="B48" s="592">
        <v>0</v>
      </c>
      <c r="C48" s="592">
        <f>'הוצאות '!F419/1000</f>
        <v>0</v>
      </c>
      <c r="D48" s="592">
        <f>'הוצאות '!G419/1000</f>
        <v>1694</v>
      </c>
      <c r="E48" s="592">
        <v>0</v>
      </c>
      <c r="F48" s="592">
        <v>0</v>
      </c>
      <c r="G48" s="592">
        <f>'הוצאות '!J419/1000</f>
        <v>0</v>
      </c>
      <c r="H48" s="592">
        <f>'הוצאות '!K419/1000</f>
        <v>1618.2</v>
      </c>
      <c r="I48" s="592">
        <f>'הוצאות '!L419/1000</f>
        <v>0</v>
      </c>
      <c r="J48" s="592">
        <f>'הוצאות '!M419/1000</f>
        <v>0</v>
      </c>
      <c r="K48" s="592">
        <f>'הוצאות '!N419/1000</f>
        <v>0</v>
      </c>
      <c r="L48" s="592">
        <f>'הוצאות '!O419/1000</f>
        <v>0</v>
      </c>
      <c r="M48" s="592">
        <f>'הוצאות '!P419/1000</f>
        <v>0</v>
      </c>
      <c r="N48" s="592">
        <f>'הוצאות '!Q419/1000</f>
        <v>0</v>
      </c>
      <c r="O48" s="592">
        <f>'הוצאות '!R419/1000</f>
        <v>1861</v>
      </c>
      <c r="P48" s="592">
        <f>'הוצאות '!S419/1000</f>
        <v>1861</v>
      </c>
    </row>
    <row r="49" spans="1:16" s="401" customFormat="1" ht="15.75" x14ac:dyDescent="0.25">
      <c r="A49" s="590" t="s">
        <v>61</v>
      </c>
      <c r="B49" s="591">
        <f>B47+B48</f>
        <v>65362</v>
      </c>
      <c r="C49" s="591">
        <f t="shared" ref="C49:G49" ca="1" si="50">C47+C48</f>
        <v>78087.216</v>
      </c>
      <c r="D49" s="591">
        <f t="shared" ref="D49" ca="1" si="51">D47+D48</f>
        <v>13490.855581818183</v>
      </c>
      <c r="E49" s="591">
        <f>E47+E48</f>
        <v>90949</v>
      </c>
      <c r="F49" s="591">
        <f>F47+F48</f>
        <v>65362</v>
      </c>
      <c r="G49" s="591">
        <f t="shared" ca="1" si="50"/>
        <v>34686.521999999997</v>
      </c>
      <c r="H49" s="591">
        <f ca="1">H47+H48</f>
        <v>82956.624416666658</v>
      </c>
      <c r="I49" s="591" t="e">
        <f t="shared" ref="I49:M49" si="52">I47+I48</f>
        <v>#VALUE!</v>
      </c>
      <c r="J49" s="591">
        <f t="shared" ca="1" si="52"/>
        <v>0</v>
      </c>
      <c r="K49" s="591">
        <f t="shared" ca="1" si="52"/>
        <v>0</v>
      </c>
      <c r="L49" s="591">
        <f t="shared" ca="1" si="52"/>
        <v>0</v>
      </c>
      <c r="M49" s="591">
        <f t="shared" ca="1" si="52"/>
        <v>55257.022929999992</v>
      </c>
      <c r="N49" s="591">
        <f t="shared" ref="N49" ca="1" si="53">N47+N48</f>
        <v>75809.570699999997</v>
      </c>
      <c r="O49" s="591">
        <f t="shared" ref="O49" ca="1" si="54">O47+O48</f>
        <v>75646.058202514294</v>
      </c>
      <c r="P49" s="591">
        <f t="shared" ref="P49" ca="1" si="55">P47+P48</f>
        <v>65284.696322727425</v>
      </c>
    </row>
    <row r="50" spans="1:16" s="401" customFormat="1" ht="18.75" x14ac:dyDescent="0.3">
      <c r="A50" s="596" t="s">
        <v>62</v>
      </c>
      <c r="B50" s="597">
        <f>B26-B49</f>
        <v>-11351</v>
      </c>
      <c r="C50" s="597">
        <f t="shared" ref="C50:G50" ca="1" si="56">C26-C49</f>
        <v>-13431.593999999997</v>
      </c>
      <c r="D50" s="597">
        <f t="shared" ref="D50" ca="1" si="57">D26-D49</f>
        <v>-4570.9371878787897</v>
      </c>
      <c r="E50" s="597">
        <f>E26-E49</f>
        <v>-11286</v>
      </c>
      <c r="F50" s="597">
        <f>F26-F49</f>
        <v>-11351</v>
      </c>
      <c r="G50" s="597" t="e">
        <f t="shared" ca="1" si="56"/>
        <v>#N/A</v>
      </c>
      <c r="H50" s="597" t="e">
        <f ca="1">H26-H49</f>
        <v>#REF!</v>
      </c>
      <c r="I50" s="597" t="e">
        <f t="shared" ref="I50:M50" si="58">I26-I49</f>
        <v>#REF!</v>
      </c>
      <c r="J50" s="597" t="e">
        <f t="shared" ca="1" si="58"/>
        <v>#VALUE!</v>
      </c>
      <c r="K50" s="597" t="e">
        <f t="shared" ca="1" si="58"/>
        <v>#REF!</v>
      </c>
      <c r="L50" s="597" t="e">
        <f t="shared" ca="1" si="58"/>
        <v>#REF!</v>
      </c>
      <c r="M50" s="597" t="e">
        <f t="shared" ca="1" si="58"/>
        <v>#REF!</v>
      </c>
      <c r="N50" s="597">
        <f t="shared" ref="N50" ca="1" si="59">N26-N49</f>
        <v>-6905.5463666666765</v>
      </c>
      <c r="O50" s="597">
        <v>-5900</v>
      </c>
      <c r="P50" s="597">
        <f ca="1">P49-P26</f>
        <v>0</v>
      </c>
    </row>
    <row r="51" spans="1:16" x14ac:dyDescent="0.2">
      <c r="A51" s="722"/>
      <c r="B51" s="722">
        <f ca="1">B49-'הוצאות '!E424/1000</f>
        <v>-19353.46768999999</v>
      </c>
      <c r="C51" s="722">
        <f ca="1">C49-'הוצאות '!F424/1000</f>
        <v>0</v>
      </c>
      <c r="D51" s="722"/>
      <c r="E51" s="722"/>
      <c r="F51" s="722">
        <f ca="1">F49-'הוצאות '!I424/1000</f>
        <v>-4311.6600764000032</v>
      </c>
      <c r="G51" s="722"/>
      <c r="H51" s="722"/>
      <c r="I51" s="722" t="e">
        <f ca="1">I49-'הוצאות '!K424/1000</f>
        <v>#VALUE!</v>
      </c>
      <c r="J51" s="722"/>
      <c r="K51" s="722"/>
      <c r="L51" s="722"/>
      <c r="O51" s="1199"/>
    </row>
    <row r="52" spans="1:16" x14ac:dyDescent="0.2">
      <c r="A52" s="722"/>
      <c r="B52" s="722"/>
      <c r="C52" s="722"/>
      <c r="D52" s="722"/>
      <c r="E52" s="722"/>
      <c r="F52" s="722"/>
      <c r="G52" s="722"/>
      <c r="H52" s="722"/>
      <c r="I52" s="880"/>
      <c r="J52" s="722"/>
      <c r="K52" s="722"/>
      <c r="L52" s="722"/>
    </row>
    <row r="53" spans="1:16" x14ac:dyDescent="0.2">
      <c r="A53" s="722"/>
      <c r="B53" s="722">
        <f ca="1">B49-B54/1000</f>
        <v>-19353.46768999999</v>
      </c>
      <c r="C53" s="722">
        <f t="shared" ref="C53" ca="1" si="60">C49-C54/1000</f>
        <v>0</v>
      </c>
      <c r="D53" s="722"/>
      <c r="E53" s="722">
        <f ca="1">E49-'הוצאות '!H424/1000</f>
        <v>-569.50860000001558</v>
      </c>
      <c r="F53" s="722"/>
      <c r="G53" s="722"/>
      <c r="H53" s="722"/>
      <c r="I53" s="722"/>
      <c r="J53" s="722"/>
      <c r="K53" s="722"/>
      <c r="L53" s="722"/>
    </row>
    <row r="54" spans="1:16" x14ac:dyDescent="0.2">
      <c r="A54" s="722"/>
      <c r="B54" s="810">
        <f ca="1">'הוצאות '!E424</f>
        <v>84715467.689999998</v>
      </c>
      <c r="C54" s="810">
        <f ca="1">'הוצאות '!F424</f>
        <v>78087216</v>
      </c>
      <c r="D54" s="810"/>
      <c r="E54" s="810">
        <f ca="1">'הוצאות '!H424</f>
        <v>91518508.600000009</v>
      </c>
      <c r="F54" s="810"/>
      <c r="G54" s="810"/>
      <c r="H54" s="810"/>
      <c r="I54" s="810"/>
      <c r="J54" s="810"/>
      <c r="K54" s="810"/>
      <c r="L54" s="810"/>
    </row>
    <row r="56" spans="1:16" x14ac:dyDescent="0.2">
      <c r="O56" s="1199"/>
    </row>
    <row r="57" spans="1:16" x14ac:dyDescent="0.2">
      <c r="O57" s="1197"/>
    </row>
  </sheetData>
  <mergeCells count="4">
    <mergeCell ref="A28:I28"/>
    <mergeCell ref="A6:I6"/>
    <mergeCell ref="A1:P1"/>
    <mergeCell ref="A3:P3"/>
  </mergeCells>
  <pageMargins left="0.19685039370078741" right="0.35433070866141736" top="0.30354166666666665" bottom="0.59055118110236227" header="0.51181102362204722" footer="0.51181102362204722"/>
  <pageSetup paperSize="9" scale="76" orientation="portrait" r:id="rId1"/>
  <headerFooter alignWithMargins="0">
    <oddFooter>&amp;C&amp;"David,מודגש"&amp;11עמוד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showGridLines="0" rightToLeft="1" view="pageLayout" workbookViewId="0">
      <selection activeCell="P22" sqref="P22"/>
    </sheetView>
  </sheetViews>
  <sheetFormatPr defaultColWidth="9.140625" defaultRowHeight="15" x14ac:dyDescent="0.25"/>
  <cols>
    <col min="1" max="1" width="0.140625" style="81" customWidth="1"/>
    <col min="2" max="2" width="27.7109375" style="81" customWidth="1"/>
    <col min="3" max="3" width="5.5703125" style="81" hidden="1" customWidth="1"/>
    <col min="4" max="4" width="6.85546875" style="81" hidden="1" customWidth="1"/>
    <col min="5" max="5" width="6.7109375" style="81" hidden="1" customWidth="1"/>
    <col min="6" max="6" width="9.5703125" style="81" hidden="1" customWidth="1"/>
    <col min="7" max="7" width="2.7109375" style="406" customWidth="1"/>
    <col min="8" max="8" width="9.5703125" style="81" customWidth="1"/>
    <col min="9" max="9" width="2.7109375" style="81" customWidth="1"/>
    <col min="10" max="10" width="9.5703125" style="81" customWidth="1"/>
    <col min="11" max="11" width="2.7109375" style="81" customWidth="1"/>
    <col min="12" max="12" width="9.5703125" style="81" customWidth="1"/>
    <col min="13" max="13" width="2.7109375" style="81" customWidth="1"/>
    <col min="14" max="14" width="11.140625" style="81" customWidth="1"/>
    <col min="15" max="15" width="2.7109375" style="81" customWidth="1"/>
    <col min="16" max="16" width="10.85546875" style="81" bestFit="1" customWidth="1"/>
    <col min="17" max="17" width="2.7109375" style="81" customWidth="1"/>
    <col min="18" max="18" width="13.28515625" style="81" customWidth="1"/>
    <col min="19" max="19" width="20.7109375" style="81" customWidth="1"/>
    <col min="20" max="16384" width="9.140625" style="81"/>
  </cols>
  <sheetData>
    <row r="1" spans="2:19" ht="23.25" x14ac:dyDescent="0.35">
      <c r="B1" s="1321" t="s">
        <v>63</v>
      </c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3"/>
    </row>
    <row r="2" spans="2:19" ht="18" customHeight="1" x14ac:dyDescent="0.3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2:19" ht="18.75" x14ac:dyDescent="0.3">
      <c r="B3" s="1324" t="s">
        <v>64</v>
      </c>
      <c r="C3" s="1324"/>
      <c r="D3" s="1324"/>
      <c r="E3" s="1324"/>
      <c r="F3" s="1324"/>
      <c r="G3" s="1324"/>
      <c r="H3" s="1324"/>
      <c r="I3" s="1324"/>
      <c r="J3" s="1324"/>
      <c r="K3" s="1324"/>
      <c r="L3" s="1324"/>
      <c r="M3" s="1324"/>
      <c r="N3" s="1324"/>
      <c r="O3" s="1324"/>
      <c r="P3" s="1324"/>
      <c r="Q3" s="1324"/>
      <c r="R3" s="1324"/>
      <c r="S3" s="1324"/>
    </row>
    <row r="5" spans="2:19" s="85" customFormat="1" ht="12.75" customHeight="1" x14ac:dyDescent="0.25">
      <c r="B5" s="83"/>
      <c r="C5" s="551"/>
      <c r="D5" s="551"/>
      <c r="E5" s="551"/>
      <c r="F5" s="83" t="s">
        <v>65</v>
      </c>
      <c r="G5" s="404"/>
      <c r="H5" s="83" t="s">
        <v>66</v>
      </c>
      <c r="I5" s="83"/>
      <c r="J5" s="83" t="s">
        <v>65</v>
      </c>
      <c r="K5" s="83"/>
      <c r="L5" s="83" t="s">
        <v>66</v>
      </c>
      <c r="M5" s="83"/>
      <c r="N5" s="83" t="s">
        <v>3226</v>
      </c>
      <c r="O5" s="83"/>
      <c r="P5" s="83" t="s">
        <v>66</v>
      </c>
      <c r="Q5" s="83"/>
      <c r="R5" s="83" t="s">
        <v>66</v>
      </c>
      <c r="S5" s="83"/>
    </row>
    <row r="6" spans="2:19" s="85" customFormat="1" ht="12.75" customHeight="1" x14ac:dyDescent="0.25">
      <c r="B6" s="86"/>
      <c r="C6" s="551"/>
      <c r="D6" s="551"/>
      <c r="E6" s="551"/>
      <c r="F6" s="86" t="s">
        <v>68</v>
      </c>
      <c r="G6" s="405"/>
      <c r="H6" s="86" t="s">
        <v>68</v>
      </c>
      <c r="I6" s="86"/>
      <c r="J6" s="86" t="s">
        <v>68</v>
      </c>
      <c r="K6" s="86"/>
      <c r="L6" s="86" t="s">
        <v>68</v>
      </c>
      <c r="M6" s="86"/>
      <c r="N6" s="86" t="s">
        <v>68</v>
      </c>
      <c r="O6" s="86"/>
      <c r="P6" s="86" t="s">
        <v>2061</v>
      </c>
      <c r="Q6" s="86"/>
      <c r="R6" s="86" t="s">
        <v>68</v>
      </c>
      <c r="S6" s="86" t="s">
        <v>69</v>
      </c>
    </row>
    <row r="7" spans="2:19" s="85" customFormat="1" ht="12.75" customHeight="1" x14ac:dyDescent="0.25">
      <c r="B7" s="86"/>
      <c r="C7" s="83"/>
      <c r="D7" s="83"/>
      <c r="E7" s="83"/>
      <c r="F7" s="86">
        <v>2015</v>
      </c>
      <c r="G7" s="405"/>
      <c r="H7" s="86">
        <v>2016</v>
      </c>
      <c r="I7" s="86"/>
      <c r="J7" s="86">
        <v>2016</v>
      </c>
      <c r="K7" s="86"/>
      <c r="L7" s="86">
        <v>2017</v>
      </c>
      <c r="M7" s="86"/>
      <c r="N7" s="86">
        <v>2017</v>
      </c>
      <c r="O7" s="86"/>
      <c r="P7" s="88">
        <v>2018</v>
      </c>
      <c r="Q7" s="86"/>
      <c r="R7" s="86">
        <v>2019</v>
      </c>
      <c r="S7" s="86"/>
    </row>
    <row r="8" spans="2:19" ht="24" customHeight="1" x14ac:dyDescent="0.25">
      <c r="B8" s="1325" t="s">
        <v>70</v>
      </c>
      <c r="C8" s="1325"/>
      <c r="D8" s="1325"/>
      <c r="E8" s="1325"/>
      <c r="F8" s="1325"/>
      <c r="G8" s="1325"/>
      <c r="H8" s="1325"/>
      <c r="I8" s="1325"/>
      <c r="J8" s="1325"/>
      <c r="K8" s="1325"/>
      <c r="L8" s="1325"/>
      <c r="M8" s="1325"/>
      <c r="N8" s="1325"/>
      <c r="O8" s="1325"/>
      <c r="P8" s="1325"/>
      <c r="Q8" s="1325"/>
      <c r="R8" s="1325"/>
      <c r="S8" s="1325"/>
    </row>
    <row r="9" spans="2:19" x14ac:dyDescent="0.25">
      <c r="B9" s="99" t="s">
        <v>71</v>
      </c>
      <c r="C9" s="99"/>
      <c r="D9" s="99"/>
      <c r="E9" s="99"/>
      <c r="F9" s="613"/>
      <c r="G9" s="607"/>
      <c r="H9" s="613"/>
      <c r="I9" s="609"/>
      <c r="J9" s="613"/>
      <c r="K9" s="609"/>
      <c r="L9" s="613"/>
      <c r="M9" s="92"/>
      <c r="N9" s="608"/>
      <c r="O9" s="92"/>
      <c r="P9" s="608"/>
      <c r="Q9" s="609"/>
      <c r="R9" s="608"/>
      <c r="S9" s="99"/>
    </row>
    <row r="10" spans="2:19" x14ac:dyDescent="0.25">
      <c r="B10" s="90" t="s">
        <v>72</v>
      </c>
      <c r="C10" s="90"/>
      <c r="D10" s="90"/>
      <c r="E10" s="90"/>
      <c r="F10" s="610">
        <v>2179</v>
      </c>
      <c r="G10" s="611"/>
      <c r="H10" s="610">
        <v>2271</v>
      </c>
      <c r="I10" s="612"/>
      <c r="J10" s="610">
        <v>2321</v>
      </c>
      <c r="K10" s="612"/>
      <c r="L10" s="610">
        <v>568</v>
      </c>
      <c r="M10" s="92"/>
      <c r="N10" s="608">
        <v>2043</v>
      </c>
      <c r="O10" s="92"/>
      <c r="P10" s="608">
        <v>2043</v>
      </c>
      <c r="Q10" s="609"/>
      <c r="R10" s="608">
        <v>0</v>
      </c>
      <c r="S10" s="90"/>
    </row>
    <row r="11" spans="2:19" x14ac:dyDescent="0.25">
      <c r="B11" s="90" t="s">
        <v>73</v>
      </c>
      <c r="C11" s="90"/>
      <c r="D11" s="90"/>
      <c r="E11" s="90"/>
      <c r="F11" s="610"/>
      <c r="G11" s="611"/>
      <c r="H11" s="610"/>
      <c r="I11" s="612"/>
      <c r="J11" s="610"/>
      <c r="K11" s="612"/>
      <c r="L11" s="610"/>
      <c r="M11" s="92"/>
      <c r="N11" s="608"/>
      <c r="O11" s="92"/>
      <c r="P11" s="608"/>
      <c r="Q11" s="609"/>
      <c r="R11" s="608"/>
      <c r="S11" s="90"/>
    </row>
    <row r="12" spans="2:19" x14ac:dyDescent="0.25">
      <c r="B12" s="90" t="s">
        <v>74</v>
      </c>
      <c r="C12" s="90"/>
      <c r="D12" s="90"/>
      <c r="E12" s="90"/>
      <c r="F12" s="610"/>
      <c r="G12" s="611"/>
      <c r="H12" s="610"/>
      <c r="I12" s="612"/>
      <c r="J12" s="610"/>
      <c r="K12" s="612"/>
      <c r="L12" s="610"/>
      <c r="M12" s="92"/>
      <c r="N12" s="608"/>
      <c r="O12" s="92"/>
      <c r="P12" s="608"/>
      <c r="Q12" s="609"/>
      <c r="R12" s="608"/>
      <c r="S12" s="90"/>
    </row>
    <row r="13" spans="2:19" x14ac:dyDescent="0.25">
      <c r="B13" s="90" t="s">
        <v>75</v>
      </c>
      <c r="C13" s="90"/>
      <c r="D13" s="90"/>
      <c r="E13" s="90"/>
      <c r="F13" s="610"/>
      <c r="G13" s="611"/>
      <c r="H13" s="610"/>
      <c r="I13" s="612"/>
      <c r="J13" s="610"/>
      <c r="K13" s="612"/>
      <c r="L13" s="610"/>
      <c r="M13" s="92"/>
      <c r="N13" s="608"/>
      <c r="O13" s="92"/>
      <c r="P13" s="608"/>
      <c r="Q13" s="609"/>
      <c r="R13" s="608"/>
      <c r="S13" s="90"/>
    </row>
    <row r="14" spans="2:19" x14ac:dyDescent="0.25">
      <c r="B14" s="90" t="s">
        <v>76</v>
      </c>
      <c r="C14" s="90"/>
      <c r="D14" s="90"/>
      <c r="E14" s="90"/>
      <c r="F14" s="610"/>
      <c r="G14" s="611"/>
      <c r="H14" s="610"/>
      <c r="I14" s="612"/>
      <c r="J14" s="610"/>
      <c r="K14" s="612"/>
      <c r="L14" s="610"/>
      <c r="M14" s="92"/>
      <c r="N14" s="608"/>
      <c r="O14" s="92"/>
      <c r="P14" s="608"/>
      <c r="Q14" s="609"/>
      <c r="R14" s="608"/>
      <c r="S14" s="90"/>
    </row>
    <row r="15" spans="2:19" x14ac:dyDescent="0.25">
      <c r="B15" s="90" t="s">
        <v>77</v>
      </c>
      <c r="C15" s="90"/>
      <c r="D15" s="90"/>
      <c r="E15" s="90"/>
      <c r="F15" s="610">
        <v>2227</v>
      </c>
      <c r="G15" s="612"/>
      <c r="H15" s="610">
        <v>8620</v>
      </c>
      <c r="I15" s="612"/>
      <c r="J15" s="610">
        <v>8972</v>
      </c>
      <c r="K15" s="612"/>
      <c r="L15" s="610">
        <v>1506</v>
      </c>
      <c r="M15" s="92"/>
      <c r="N15" s="608">
        <v>1349</v>
      </c>
      <c r="O15" s="92"/>
      <c r="P15" s="608">
        <v>1354</v>
      </c>
      <c r="Q15" s="609"/>
      <c r="R15" s="608">
        <v>2938</v>
      </c>
      <c r="S15" s="90" t="s">
        <v>78</v>
      </c>
    </row>
    <row r="16" spans="2:19" x14ac:dyDescent="0.25">
      <c r="B16" s="90" t="s">
        <v>79</v>
      </c>
      <c r="C16" s="90"/>
      <c r="D16" s="90"/>
      <c r="E16" s="90"/>
      <c r="F16" s="717">
        <f>SUM(F10:F15)</f>
        <v>4406</v>
      </c>
      <c r="G16" s="611"/>
      <c r="H16" s="717">
        <f>SUM(H10:H15)</f>
        <v>10891</v>
      </c>
      <c r="I16" s="612"/>
      <c r="J16" s="717">
        <f>SUM(J10:J15)</f>
        <v>11293</v>
      </c>
      <c r="K16" s="612"/>
      <c r="L16" s="717">
        <f>SUM(L10:L15)</f>
        <v>2074</v>
      </c>
      <c r="M16" s="92"/>
      <c r="N16" s="717">
        <f>SUM(N10:N15)</f>
        <v>3392</v>
      </c>
      <c r="O16" s="92"/>
      <c r="P16" s="717">
        <f>SUM(P10:P15)</f>
        <v>3397</v>
      </c>
      <c r="Q16" s="609"/>
      <c r="R16" s="717">
        <f>SUM(R10:R15)</f>
        <v>2938</v>
      </c>
      <c r="S16" s="90"/>
    </row>
    <row r="17" spans="2:19" x14ac:dyDescent="0.25">
      <c r="B17" s="90" t="s">
        <v>80</v>
      </c>
      <c r="C17" s="90"/>
      <c r="D17" s="90"/>
      <c r="E17" s="90"/>
      <c r="F17" s="610">
        <v>3069</v>
      </c>
      <c r="G17" s="612"/>
      <c r="H17" s="610">
        <v>1751</v>
      </c>
      <c r="I17" s="612"/>
      <c r="J17" s="610">
        <v>1852</v>
      </c>
      <c r="K17" s="612"/>
      <c r="L17" s="610">
        <v>2974</v>
      </c>
      <c r="M17" s="92"/>
      <c r="N17" s="608">
        <v>3031</v>
      </c>
      <c r="O17" s="92"/>
      <c r="P17" s="608">
        <f>'הוצאות '!R97/1000</f>
        <v>2294.2911557999996</v>
      </c>
      <c r="Q17" s="609"/>
      <c r="R17" s="608">
        <v>2258</v>
      </c>
      <c r="S17" s="90"/>
    </row>
    <row r="18" spans="2:19" x14ac:dyDescent="0.25">
      <c r="B18" s="90" t="s">
        <v>81</v>
      </c>
      <c r="C18" s="90"/>
      <c r="D18" s="90"/>
      <c r="E18" s="90"/>
      <c r="F18" s="610">
        <v>10593</v>
      </c>
      <c r="G18" s="612"/>
      <c r="H18" s="610">
        <v>12029</v>
      </c>
      <c r="I18" s="612"/>
      <c r="J18" s="610">
        <v>11940</v>
      </c>
      <c r="K18" s="612"/>
      <c r="L18" s="610">
        <v>2106</v>
      </c>
      <c r="M18" s="92"/>
      <c r="N18" s="608">
        <v>7098</v>
      </c>
      <c r="O18" s="92"/>
      <c r="P18" s="608">
        <f>'הוצאות '!R394/1000</f>
        <v>6729.8064381999993</v>
      </c>
      <c r="Q18" s="609"/>
      <c r="R18" s="608">
        <v>0</v>
      </c>
      <c r="S18" s="90"/>
    </row>
    <row r="19" spans="2:19" x14ac:dyDescent="0.25">
      <c r="B19" s="90" t="s">
        <v>83</v>
      </c>
      <c r="C19" s="90"/>
      <c r="D19" s="90"/>
      <c r="E19" s="90"/>
      <c r="F19" s="610">
        <v>2886</v>
      </c>
      <c r="G19" s="612"/>
      <c r="H19" s="610">
        <v>3016</v>
      </c>
      <c r="I19" s="612"/>
      <c r="J19" s="610">
        <v>3044</v>
      </c>
      <c r="K19" s="612"/>
      <c r="L19" s="610">
        <v>754</v>
      </c>
      <c r="M19" s="92"/>
      <c r="N19" s="608">
        <v>2528</v>
      </c>
      <c r="O19" s="92"/>
      <c r="P19" s="608">
        <f>'הוצאות '!R410/1000</f>
        <v>2277.6</v>
      </c>
      <c r="Q19" s="609"/>
      <c r="R19" s="608">
        <v>0</v>
      </c>
      <c r="S19" s="90"/>
    </row>
    <row r="20" spans="2:19" ht="25.5" customHeight="1" x14ac:dyDescent="0.25">
      <c r="B20" s="1326" t="s">
        <v>84</v>
      </c>
      <c r="C20" s="1326"/>
      <c r="D20" s="1326"/>
      <c r="E20" s="1326"/>
      <c r="F20" s="1326"/>
      <c r="G20" s="1326"/>
      <c r="H20" s="1326"/>
      <c r="I20" s="1326"/>
      <c r="J20" s="1326"/>
      <c r="K20" s="1326"/>
      <c r="L20" s="1326"/>
      <c r="M20" s="1326"/>
      <c r="N20" s="1326"/>
      <c r="O20" s="1326"/>
      <c r="P20" s="1326"/>
      <c r="Q20" s="1326"/>
      <c r="R20" s="1326"/>
      <c r="S20" s="1326"/>
    </row>
    <row r="21" spans="2:19" x14ac:dyDescent="0.25">
      <c r="B21" s="99" t="s">
        <v>85</v>
      </c>
      <c r="C21" s="99"/>
      <c r="D21" s="99"/>
      <c r="E21" s="99"/>
      <c r="F21" s="718"/>
      <c r="G21" s="612"/>
      <c r="H21" s="718">
        <v>1111</v>
      </c>
      <c r="I21" s="612"/>
      <c r="J21" s="718">
        <v>1041</v>
      </c>
      <c r="K21" s="612"/>
      <c r="L21" s="718">
        <f>'הכנסות '!D37/1000</f>
        <v>1111</v>
      </c>
      <c r="M21" s="735"/>
      <c r="N21" s="608">
        <v>506</v>
      </c>
      <c r="O21" s="735"/>
      <c r="P21" s="608">
        <v>800</v>
      </c>
      <c r="Q21" s="609"/>
      <c r="R21" s="608">
        <v>800</v>
      </c>
      <c r="S21" s="99"/>
    </row>
    <row r="22" spans="2:19" x14ac:dyDescent="0.25">
      <c r="B22" s="90" t="s">
        <v>86</v>
      </c>
      <c r="C22" s="90"/>
      <c r="D22" s="90"/>
      <c r="E22" s="90"/>
      <c r="F22" s="610">
        <v>1054</v>
      </c>
      <c r="G22" s="612"/>
      <c r="H22" s="610"/>
      <c r="I22" s="612"/>
      <c r="J22" s="610">
        <v>0</v>
      </c>
      <c r="K22" s="612"/>
      <c r="L22" s="610">
        <v>866</v>
      </c>
      <c r="M22" s="735"/>
      <c r="N22" s="736">
        <v>866</v>
      </c>
      <c r="O22" s="735"/>
      <c r="P22" s="608">
        <v>866</v>
      </c>
      <c r="Q22" s="609"/>
      <c r="R22" s="608">
        <v>866</v>
      </c>
      <c r="S22" s="90"/>
    </row>
    <row r="23" spans="2:19" x14ac:dyDescent="0.25">
      <c r="B23" s="90" t="s">
        <v>87</v>
      </c>
      <c r="C23" s="90"/>
      <c r="D23" s="90"/>
      <c r="E23" s="90"/>
      <c r="F23" s="610"/>
      <c r="G23" s="612"/>
      <c r="H23" s="610"/>
      <c r="I23" s="612"/>
      <c r="J23" s="610"/>
      <c r="K23" s="612"/>
      <c r="L23" s="610"/>
      <c r="M23" s="735"/>
      <c r="N23" s="736"/>
      <c r="O23" s="735"/>
      <c r="P23" s="608"/>
      <c r="Q23" s="609"/>
      <c r="R23" s="608"/>
      <c r="S23" s="90"/>
    </row>
    <row r="24" spans="2:19" x14ac:dyDescent="0.25">
      <c r="B24" s="90" t="s">
        <v>88</v>
      </c>
      <c r="C24" s="90"/>
      <c r="D24" s="90"/>
      <c r="E24" s="90"/>
      <c r="F24" s="610">
        <v>136</v>
      </c>
      <c r="G24" s="612"/>
      <c r="H24" s="610">
        <v>97</v>
      </c>
      <c r="I24" s="612"/>
      <c r="J24" s="610">
        <v>104</v>
      </c>
      <c r="K24" s="612"/>
      <c r="L24" s="610"/>
      <c r="M24" s="735"/>
      <c r="N24" s="877"/>
      <c r="O24" s="735"/>
      <c r="P24" s="608"/>
      <c r="Q24" s="609"/>
      <c r="R24" s="608"/>
      <c r="S24" s="90"/>
    </row>
    <row r="25" spans="2:19" x14ac:dyDescent="0.25">
      <c r="B25" s="90" t="s">
        <v>89</v>
      </c>
      <c r="C25" s="90"/>
      <c r="D25" s="90"/>
      <c r="E25" s="90"/>
      <c r="F25" s="610"/>
      <c r="G25" s="612"/>
      <c r="H25" s="610"/>
      <c r="I25" s="612"/>
      <c r="J25" s="610"/>
      <c r="K25" s="612"/>
      <c r="L25" s="610"/>
      <c r="M25" s="735"/>
      <c r="N25" s="736"/>
      <c r="O25" s="735"/>
      <c r="P25" s="608"/>
      <c r="Q25" s="609"/>
      <c r="R25" s="608"/>
      <c r="S25" s="90"/>
    </row>
    <row r="26" spans="2:19" x14ac:dyDescent="0.25">
      <c r="B26" s="90" t="s">
        <v>90</v>
      </c>
      <c r="C26" s="90"/>
      <c r="D26" s="90"/>
      <c r="E26" s="90"/>
      <c r="F26" s="610"/>
      <c r="G26" s="612"/>
      <c r="H26" s="610"/>
      <c r="I26" s="612"/>
      <c r="J26" s="610"/>
      <c r="K26" s="612"/>
      <c r="L26" s="610"/>
      <c r="M26" s="735"/>
      <c r="N26" s="736"/>
      <c r="O26" s="735"/>
      <c r="P26" s="608"/>
      <c r="Q26" s="609"/>
      <c r="R26" s="608"/>
      <c r="S26" s="90"/>
    </row>
    <row r="27" spans="2:19" x14ac:dyDescent="0.25">
      <c r="B27" s="90" t="s">
        <v>91</v>
      </c>
      <c r="C27" s="90"/>
      <c r="D27" s="90"/>
      <c r="E27" s="90"/>
      <c r="F27" s="610"/>
      <c r="G27" s="612"/>
      <c r="H27" s="610"/>
      <c r="I27" s="612"/>
      <c r="J27" s="610"/>
      <c r="K27" s="612"/>
      <c r="L27" s="610"/>
      <c r="M27" s="735"/>
      <c r="N27" s="736"/>
      <c r="O27" s="735"/>
      <c r="P27" s="608"/>
      <c r="Q27" s="609"/>
      <c r="R27" s="608"/>
      <c r="S27" s="90"/>
    </row>
    <row r="28" spans="2:19" x14ac:dyDescent="0.25">
      <c r="B28" s="90" t="s">
        <v>92</v>
      </c>
      <c r="C28" s="90"/>
      <c r="D28" s="90"/>
      <c r="E28" s="90"/>
      <c r="F28" s="610">
        <v>358</v>
      </c>
      <c r="G28" s="612"/>
      <c r="H28" s="610">
        <v>200</v>
      </c>
      <c r="I28" s="612"/>
      <c r="J28" s="610">
        <v>246</v>
      </c>
      <c r="K28" s="612"/>
      <c r="L28" s="610">
        <v>0</v>
      </c>
      <c r="M28" s="735"/>
      <c r="N28" s="877">
        <v>41</v>
      </c>
      <c r="O28" s="735"/>
      <c r="P28" s="608">
        <v>15</v>
      </c>
      <c r="Q28" s="609"/>
      <c r="R28" s="608"/>
      <c r="S28" s="90"/>
    </row>
    <row r="29" spans="2:19" x14ac:dyDescent="0.25">
      <c r="B29" s="90" t="s">
        <v>93</v>
      </c>
      <c r="C29" s="90"/>
      <c r="D29" s="90"/>
      <c r="E29" s="90"/>
      <c r="F29" s="610">
        <v>4777</v>
      </c>
      <c r="G29" s="718"/>
      <c r="H29" s="610">
        <v>5448</v>
      </c>
      <c r="I29" s="718"/>
      <c r="J29" s="610">
        <v>5621</v>
      </c>
      <c r="K29" s="718"/>
      <c r="L29" s="608">
        <v>2100</v>
      </c>
      <c r="M29" s="737"/>
      <c r="N29" s="608">
        <v>5808</v>
      </c>
      <c r="O29" s="737"/>
      <c r="P29" s="608">
        <v>5829</v>
      </c>
      <c r="Q29" s="613"/>
      <c r="R29" s="608">
        <v>1000</v>
      </c>
      <c r="S29" s="90"/>
    </row>
  </sheetData>
  <mergeCells count="4">
    <mergeCell ref="B1:S1"/>
    <mergeCell ref="B3:S3"/>
    <mergeCell ref="B8:S8"/>
    <mergeCell ref="B20:S20"/>
  </mergeCells>
  <pageMargins left="0.19685039370078741" right="0.35433070866141736" top="0.59055118110236227" bottom="0.59055118110236227" header="0.51181102362204722" footer="0.51181102362204722"/>
  <pageSetup paperSize="9" scale="77" orientation="portrait" r:id="rId1"/>
  <headerFooter alignWithMargins="0">
    <oddFooter>&amp;C&amp;"David,מודגש"&amp;11עמוד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pageSetUpPr fitToPage="1"/>
  </sheetPr>
  <dimension ref="A1:T52"/>
  <sheetViews>
    <sheetView showGridLines="0" rightToLeft="1" view="pageLayout" topLeftCell="A10" workbookViewId="0">
      <selection activeCell="R51" sqref="R51"/>
    </sheetView>
  </sheetViews>
  <sheetFormatPr defaultColWidth="9.140625" defaultRowHeight="12.75" x14ac:dyDescent="0.2"/>
  <cols>
    <col min="1" max="1" width="45.5703125" style="3" customWidth="1"/>
    <col min="2" max="2" width="11.140625" style="3" hidden="1" customWidth="1"/>
    <col min="3" max="3" width="9.85546875" style="3" hidden="1" customWidth="1"/>
    <col min="4" max="4" width="12.5703125" style="3" hidden="1" customWidth="1"/>
    <col min="5" max="5" width="14.5703125" style="3" hidden="1" customWidth="1"/>
    <col min="6" max="6" width="8.140625" style="3" hidden="1" customWidth="1"/>
    <col min="7" max="8" width="10.42578125" style="380" hidden="1" customWidth="1"/>
    <col min="9" max="9" width="11.5703125" style="380" customWidth="1"/>
    <col min="10" max="10" width="11.5703125" style="380" hidden="1" customWidth="1"/>
    <col min="11" max="11" width="11.85546875" style="380" customWidth="1"/>
    <col min="12" max="13" width="11.85546875" style="380" hidden="1" customWidth="1"/>
    <col min="14" max="15" width="11.28515625" style="3" hidden="1" customWidth="1"/>
    <col min="16" max="20" width="11.28515625" style="3" customWidth="1"/>
    <col min="21" max="16384" width="9.140625" style="3"/>
  </cols>
  <sheetData>
    <row r="1" spans="1:20" ht="17.25" customHeight="1" x14ac:dyDescent="0.35">
      <c r="A1" s="1327" t="s">
        <v>16</v>
      </c>
      <c r="B1" s="1328"/>
      <c r="C1" s="1328"/>
      <c r="D1" s="1328"/>
      <c r="E1" s="1328"/>
      <c r="F1" s="1328"/>
      <c r="G1" s="1328"/>
      <c r="H1" s="1328"/>
      <c r="I1" s="1328"/>
      <c r="J1" s="1328"/>
      <c r="K1" s="1328"/>
      <c r="L1" s="1328"/>
      <c r="M1" s="1328"/>
      <c r="N1" s="1328"/>
      <c r="O1" s="1328"/>
      <c r="P1" s="1328"/>
      <c r="Q1" s="1328"/>
      <c r="R1" s="1328"/>
      <c r="S1" s="82"/>
      <c r="T1" s="82"/>
    </row>
    <row r="2" spans="1:20" ht="7.5" customHeigh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0" ht="17.25" customHeight="1" x14ac:dyDescent="0.3">
      <c r="A3" s="1329" t="s">
        <v>3310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969"/>
      <c r="T3" s="969"/>
    </row>
    <row r="4" spans="1:20" ht="9.75" customHeight="1" x14ac:dyDescent="0.2"/>
    <row r="5" spans="1:20" s="5" customFormat="1" ht="49.5" customHeight="1" x14ac:dyDescent="0.2">
      <c r="A5" s="594" t="s">
        <v>17</v>
      </c>
      <c r="B5" s="594" t="s">
        <v>95</v>
      </c>
      <c r="C5" s="594" t="s">
        <v>96</v>
      </c>
      <c r="D5" s="594" t="s">
        <v>97</v>
      </c>
      <c r="E5" s="594" t="s">
        <v>98</v>
      </c>
      <c r="F5" s="594" t="s">
        <v>99</v>
      </c>
      <c r="G5" s="595" t="s">
        <v>100</v>
      </c>
      <c r="H5" s="595" t="s">
        <v>101</v>
      </c>
      <c r="I5" s="595" t="s">
        <v>102</v>
      </c>
      <c r="J5" s="595" t="s">
        <v>18</v>
      </c>
      <c r="K5" s="595" t="s">
        <v>103</v>
      </c>
      <c r="L5" s="595" t="s">
        <v>1852</v>
      </c>
      <c r="M5" s="595" t="s">
        <v>1851</v>
      </c>
      <c r="N5" s="595" t="s">
        <v>2053</v>
      </c>
      <c r="O5" s="595" t="s">
        <v>2059</v>
      </c>
      <c r="P5" s="595" t="s">
        <v>3222</v>
      </c>
      <c r="Q5" s="595" t="s">
        <v>113</v>
      </c>
      <c r="R5" s="595" t="s">
        <v>2052</v>
      </c>
      <c r="S5" s="970"/>
      <c r="T5" s="970"/>
    </row>
    <row r="6" spans="1:20" ht="18.75" x14ac:dyDescent="0.2">
      <c r="A6" s="1314" t="s">
        <v>20</v>
      </c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6"/>
      <c r="O6" s="971"/>
      <c r="P6" s="971"/>
      <c r="Q6" s="971"/>
      <c r="R6" s="971"/>
      <c r="S6" s="971"/>
      <c r="T6" s="971"/>
    </row>
    <row r="7" spans="1:20" ht="15" x14ac:dyDescent="0.25">
      <c r="A7" s="730" t="s">
        <v>21</v>
      </c>
      <c r="B7" s="731"/>
      <c r="C7" s="731"/>
      <c r="D7" s="600">
        <v>13500</v>
      </c>
      <c r="E7" s="600">
        <f>G7-D7</f>
        <v>3100</v>
      </c>
      <c r="F7" s="600">
        <v>1</v>
      </c>
      <c r="G7" s="600">
        <v>16600</v>
      </c>
      <c r="H7" s="600">
        <v>13016</v>
      </c>
      <c r="I7" s="600">
        <f>'טבלה מעודכנת '!B7</f>
        <v>13500</v>
      </c>
      <c r="J7" s="600">
        <f>'טבלה מעודכנת '!C7</f>
        <v>10939.046</v>
      </c>
      <c r="K7" s="600">
        <f>'טבלה מעודכנת '!F7</f>
        <v>13500</v>
      </c>
      <c r="L7" s="600">
        <f>'טבלה מעודכנת '!G7</f>
        <v>7145.3023599999997</v>
      </c>
      <c r="M7" s="600">
        <f>'טבלה מעודכנת '!H7</f>
        <v>16360.75</v>
      </c>
      <c r="N7" s="600">
        <f>'טבלה מעודכנת '!I7</f>
        <v>0</v>
      </c>
      <c r="O7" s="600">
        <f>'טבלה מעודכנת '!M7</f>
        <v>9908.8050000000003</v>
      </c>
      <c r="P7" s="600">
        <f>'טבלה מעודכנת '!N7</f>
        <v>14611.145</v>
      </c>
      <c r="Q7" s="600">
        <f>'טבלה מעודכנת '!O7</f>
        <v>17117</v>
      </c>
      <c r="R7" s="600">
        <f>'טבלה מעודכנת '!P7</f>
        <v>17877</v>
      </c>
      <c r="S7" s="972"/>
      <c r="T7" s="972"/>
    </row>
    <row r="8" spans="1:20" ht="15" x14ac:dyDescent="0.25">
      <c r="A8" s="730" t="s">
        <v>22</v>
      </c>
      <c r="B8" s="731"/>
      <c r="C8" s="731"/>
      <c r="D8" s="600">
        <v>5750</v>
      </c>
      <c r="E8" s="600">
        <f>G8-D8</f>
        <v>1250</v>
      </c>
      <c r="F8" s="600">
        <v>2</v>
      </c>
      <c r="G8" s="600">
        <v>7000</v>
      </c>
      <c r="H8" s="600">
        <v>4777</v>
      </c>
      <c r="I8" s="600">
        <f>'טבלה מעודכנת '!B8</f>
        <v>4528</v>
      </c>
      <c r="J8" s="600">
        <f>'טבלה מעודכנת '!C8</f>
        <v>3767.1950000000002</v>
      </c>
      <c r="K8" s="600">
        <f>'טבלה מעודכנת '!F8</f>
        <v>4528</v>
      </c>
      <c r="L8" s="600">
        <f>'טבלה מעודכנת '!G8</f>
        <v>2128.1087299999999</v>
      </c>
      <c r="M8" s="600">
        <f>'טבלה מעודכנת '!H8</f>
        <v>5189</v>
      </c>
      <c r="N8" s="600">
        <f>'טבלה מעודכנת '!I8</f>
        <v>0</v>
      </c>
      <c r="O8" s="600">
        <f>'טבלה מעודכנת '!M8</f>
        <v>3352.1379999999999</v>
      </c>
      <c r="P8" s="600">
        <f>'טבלה מעודכנת '!N8</f>
        <v>5222.7479999999996</v>
      </c>
      <c r="Q8" s="600">
        <f>'טבלה מעודכנת '!O8</f>
        <v>5828.75</v>
      </c>
      <c r="R8" s="600">
        <f>'טבלה מעודכנת '!P8</f>
        <v>1949</v>
      </c>
      <c r="S8" s="972"/>
      <c r="T8" s="972"/>
    </row>
    <row r="9" spans="1:20" ht="15" x14ac:dyDescent="0.25">
      <c r="A9" s="730" t="s">
        <v>23</v>
      </c>
      <c r="B9" s="731"/>
      <c r="C9" s="731"/>
      <c r="D9" s="600">
        <v>0</v>
      </c>
      <c r="E9" s="600">
        <f>G9-D9</f>
        <v>317</v>
      </c>
      <c r="F9" s="600">
        <v>3</v>
      </c>
      <c r="G9" s="600">
        <v>317</v>
      </c>
      <c r="H9" s="600">
        <v>0</v>
      </c>
      <c r="I9" s="600">
        <f>'טבלה מעודכנת '!B9</f>
        <v>317</v>
      </c>
      <c r="J9" s="600">
        <f>'טבלה מעודכנת '!C9</f>
        <v>217.5</v>
      </c>
      <c r="K9" s="600">
        <f>'טבלה מעודכנת '!F9</f>
        <v>317</v>
      </c>
      <c r="L9" s="600">
        <f>'טבלה מעודכנת '!G9</f>
        <v>187.68199999999999</v>
      </c>
      <c r="M9" s="600">
        <f>'טבלה מעודכנת '!H9</f>
        <v>300</v>
      </c>
      <c r="N9" s="600">
        <f>'טבלה מעודכנת '!I9</f>
        <v>0</v>
      </c>
      <c r="O9" s="600">
        <f>'טבלה מעודכנת '!M9</f>
        <v>290.60500000000002</v>
      </c>
      <c r="P9" s="600">
        <f>'טבלה מעודכנת '!N9</f>
        <v>388.8</v>
      </c>
      <c r="Q9" s="600">
        <f>'טבלה מעודכנת '!O9</f>
        <v>438.46</v>
      </c>
      <c r="R9" s="600">
        <f>'טבלה מעודכנת '!P9</f>
        <v>438.46</v>
      </c>
      <c r="S9" s="972"/>
      <c r="T9" s="972"/>
    </row>
    <row r="10" spans="1:20" ht="15" x14ac:dyDescent="0.25">
      <c r="A10" s="730" t="s">
        <v>104</v>
      </c>
      <c r="B10" s="731"/>
      <c r="C10" s="731"/>
      <c r="D10" s="600">
        <v>0</v>
      </c>
      <c r="E10" s="600">
        <f>G10-D10</f>
        <v>0</v>
      </c>
      <c r="F10" s="600">
        <v>4</v>
      </c>
      <c r="G10" s="600"/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0</v>
      </c>
      <c r="Q10" s="600">
        <v>0</v>
      </c>
      <c r="R10" s="600">
        <v>0</v>
      </c>
      <c r="S10" s="972"/>
      <c r="T10" s="972"/>
    </row>
    <row r="11" spans="1:20" ht="15" x14ac:dyDescent="0.25">
      <c r="A11" s="732" t="s">
        <v>24</v>
      </c>
      <c r="B11" s="731"/>
      <c r="C11" s="731"/>
      <c r="D11" s="600">
        <v>2260</v>
      </c>
      <c r="E11" s="600">
        <f>G11-D11</f>
        <v>540</v>
      </c>
      <c r="F11" s="600">
        <v>5</v>
      </c>
      <c r="G11" s="600">
        <v>2800</v>
      </c>
      <c r="H11" s="600">
        <v>4167</v>
      </c>
      <c r="I11" s="600">
        <f>'טבלה מעודכנת '!B10</f>
        <v>3206</v>
      </c>
      <c r="J11" s="600">
        <f>'טבלה מעודכנת '!C10</f>
        <v>1859.2139999999999</v>
      </c>
      <c r="K11" s="600">
        <f>'טבלה מעודכנת '!F10</f>
        <v>3206</v>
      </c>
      <c r="L11" s="600">
        <f>'טבלה מעודכנת '!G10</f>
        <v>904.43690000000004</v>
      </c>
      <c r="M11" s="600">
        <f>'טבלה מעודכנת '!H10</f>
        <v>3276.2370000000001</v>
      </c>
      <c r="N11" s="600">
        <f>'טבלה מעודכנת '!I10</f>
        <v>0</v>
      </c>
      <c r="O11" s="600">
        <f>'טבלה מעודכנת '!M10</f>
        <v>2084.3130000000001</v>
      </c>
      <c r="P11" s="600">
        <f>'טבלה מעודכנת '!N10</f>
        <v>2906.8713333333335</v>
      </c>
      <c r="Q11" s="600">
        <f>'טבלה מעודכנת '!O10</f>
        <v>3112.8</v>
      </c>
      <c r="R11" s="600">
        <f>'טבלה מעודכנת '!P10</f>
        <v>3151.8</v>
      </c>
      <c r="S11" s="972"/>
      <c r="T11" s="972"/>
    </row>
    <row r="12" spans="1:20" s="4" customFormat="1" ht="15" x14ac:dyDescent="0.25">
      <c r="A12" s="733" t="s">
        <v>25</v>
      </c>
      <c r="B12" s="734">
        <f>SUM(B7:B11)</f>
        <v>0</v>
      </c>
      <c r="C12" s="734">
        <f>SUM(C7:C11)</f>
        <v>0</v>
      </c>
      <c r="D12" s="593">
        <f>SUM(D7:D11)</f>
        <v>21510</v>
      </c>
      <c r="E12" s="593">
        <f t="shared" ref="E12:H12" si="0">SUM(E7:E11)</f>
        <v>5207</v>
      </c>
      <c r="F12" s="593">
        <f t="shared" si="0"/>
        <v>15</v>
      </c>
      <c r="G12" s="593">
        <f t="shared" si="0"/>
        <v>26717</v>
      </c>
      <c r="H12" s="593">
        <f t="shared" si="0"/>
        <v>21960</v>
      </c>
      <c r="I12" s="593">
        <f t="shared" ref="I12:R12" si="1">SUM(I7:I11)</f>
        <v>21551</v>
      </c>
      <c r="J12" s="593">
        <f t="shared" si="1"/>
        <v>16782.955000000002</v>
      </c>
      <c r="K12" s="593">
        <f t="shared" si="1"/>
        <v>21551</v>
      </c>
      <c r="L12" s="593">
        <f t="shared" si="1"/>
        <v>10365.529990000001</v>
      </c>
      <c r="M12" s="593">
        <f t="shared" si="1"/>
        <v>25125.987000000001</v>
      </c>
      <c r="N12" s="593">
        <f t="shared" si="1"/>
        <v>0</v>
      </c>
      <c r="O12" s="593">
        <f t="shared" si="1"/>
        <v>15635.860999999999</v>
      </c>
      <c r="P12" s="593">
        <f t="shared" si="1"/>
        <v>23129.564333333332</v>
      </c>
      <c r="Q12" s="593">
        <f t="shared" si="1"/>
        <v>26497.01</v>
      </c>
      <c r="R12" s="593">
        <f t="shared" si="1"/>
        <v>23416.26</v>
      </c>
      <c r="S12" s="973"/>
      <c r="T12" s="973"/>
    </row>
    <row r="13" spans="1:20" ht="15" x14ac:dyDescent="0.25">
      <c r="A13" s="730" t="s">
        <v>26</v>
      </c>
      <c r="B13" s="731"/>
      <c r="C13" s="731"/>
      <c r="D13" s="600">
        <v>14479</v>
      </c>
      <c r="E13" s="600">
        <f>G13-D13</f>
        <v>601</v>
      </c>
      <c r="F13" s="600">
        <v>6</v>
      </c>
      <c r="G13" s="600">
        <v>15080</v>
      </c>
      <c r="H13" s="600">
        <v>14935</v>
      </c>
      <c r="I13" s="600">
        <f>'טבלה מעודכנת '!B12</f>
        <v>14479</v>
      </c>
      <c r="J13" s="600">
        <f>'טבלה מעודכנת '!C12</f>
        <v>14336.974</v>
      </c>
      <c r="K13" s="600">
        <f>'טבלה מעודכנת '!F12</f>
        <v>14479</v>
      </c>
      <c r="L13" s="600">
        <f>'טבלה מעודכנת '!G12</f>
        <v>7917.70345</v>
      </c>
      <c r="M13" s="600">
        <f>'טבלה מעודכנת '!H12</f>
        <v>17477.3</v>
      </c>
      <c r="N13" s="600">
        <f>'טבלה מעודכנת '!I12</f>
        <v>0</v>
      </c>
      <c r="O13" s="600">
        <f>'טבלה מעודכנת '!M12</f>
        <v>11852.493</v>
      </c>
      <c r="P13" s="600">
        <f>'טבלה מעודכנת '!N12</f>
        <v>17314.703666666665</v>
      </c>
      <c r="Q13" s="600">
        <f>'טבלה מעודכנת '!O12</f>
        <v>18586.949000000001</v>
      </c>
      <c r="R13" s="600">
        <f>'טבלה מעודכנת '!P12</f>
        <v>17090.548999999999</v>
      </c>
      <c r="S13" s="972"/>
      <c r="T13" s="972"/>
    </row>
    <row r="14" spans="1:20" ht="15" x14ac:dyDescent="0.25">
      <c r="A14" s="730" t="s">
        <v>27</v>
      </c>
      <c r="B14" s="731"/>
      <c r="C14" s="731"/>
      <c r="D14" s="600">
        <v>4151</v>
      </c>
      <c r="E14" s="600">
        <f>G14-D14</f>
        <v>387</v>
      </c>
      <c r="F14" s="600">
        <v>7</v>
      </c>
      <c r="G14" s="600">
        <v>4538</v>
      </c>
      <c r="H14" s="600">
        <v>5142</v>
      </c>
      <c r="I14" s="600">
        <f>'טבלה מעודכנת '!B13</f>
        <v>4151</v>
      </c>
      <c r="J14" s="600">
        <f>'טבלה מעודכנת '!C13</f>
        <v>4158.5600000000004</v>
      </c>
      <c r="K14" s="600">
        <f>'טבלה מעודכנת '!F13</f>
        <v>4151</v>
      </c>
      <c r="L14" s="600" t="e">
        <f>'טבלה מעודכנת '!G13</f>
        <v>#N/A</v>
      </c>
      <c r="M14" s="600">
        <f>'טבלה מעודכנת '!H13</f>
        <v>6333.0069999999996</v>
      </c>
      <c r="N14" s="600">
        <f>'טבלה מעודכנת '!I13</f>
        <v>0</v>
      </c>
      <c r="O14" s="600">
        <f>'טבלה מעודכנת '!M13</f>
        <v>3903.9659999999999</v>
      </c>
      <c r="P14" s="600">
        <f>'טבלה מעודכנת '!N13</f>
        <v>5832.7003333333332</v>
      </c>
      <c r="Q14" s="600">
        <f>'טבלה מעודכנת '!O13</f>
        <v>5609.12075</v>
      </c>
      <c r="R14" s="600">
        <f>'טבלה מעודכנת '!P13</f>
        <v>5609.12075</v>
      </c>
      <c r="S14" s="972"/>
      <c r="T14" s="972"/>
    </row>
    <row r="15" spans="1:20" ht="15" x14ac:dyDescent="0.25">
      <c r="A15" s="730" t="s">
        <v>28</v>
      </c>
      <c r="B15" s="731"/>
      <c r="C15" s="731"/>
      <c r="D15" s="600">
        <v>801</v>
      </c>
      <c r="E15" s="600">
        <f>G15-D15</f>
        <v>320</v>
      </c>
      <c r="F15" s="600">
        <v>8</v>
      </c>
      <c r="G15" s="600">
        <v>1121</v>
      </c>
      <c r="H15" s="600">
        <v>419</v>
      </c>
      <c r="I15" s="600">
        <f>'טבלה מעודכנת '!B14</f>
        <v>821</v>
      </c>
      <c r="J15" s="600">
        <f>'טבלה מעודכנת '!C14</f>
        <v>2335.808</v>
      </c>
      <c r="K15" s="600">
        <f>'טבלה מעודכנת '!F14</f>
        <v>821</v>
      </c>
      <c r="L15" s="600">
        <f>'טבלה מעודכנת '!G14</f>
        <v>166.74799999999999</v>
      </c>
      <c r="M15" s="600">
        <f>'טבלה מעודכנת '!H14</f>
        <v>645.6</v>
      </c>
      <c r="N15" s="600">
        <f>'טבלה מעודכנת '!I14</f>
        <v>0</v>
      </c>
      <c r="O15" s="600">
        <f>'טבלה מעודכנת '!M14</f>
        <v>472.95</v>
      </c>
      <c r="P15" s="600">
        <f>'טבלה מעודכנת '!N14</f>
        <v>1068.56</v>
      </c>
      <c r="Q15" s="600">
        <f>'טבלה מעודכנת '!O14</f>
        <v>758.6</v>
      </c>
      <c r="R15" s="600">
        <f>'טבלה מעודכנת '!P14</f>
        <v>758.6</v>
      </c>
      <c r="S15" s="972"/>
      <c r="T15" s="972"/>
    </row>
    <row r="16" spans="1:20" ht="15" x14ac:dyDescent="0.25">
      <c r="A16" s="730" t="s">
        <v>29</v>
      </c>
      <c r="B16" s="731"/>
      <c r="C16" s="731"/>
      <c r="D16" s="600">
        <v>8216</v>
      </c>
      <c r="E16" s="600">
        <f>G16-D16</f>
        <v>490</v>
      </c>
      <c r="F16" s="600">
        <v>9</v>
      </c>
      <c r="G16" s="600">
        <v>8706</v>
      </c>
      <c r="H16" s="600">
        <v>10173</v>
      </c>
      <c r="I16" s="600">
        <f>'טבלה מעודכנת '!B15</f>
        <v>8439</v>
      </c>
      <c r="J16" s="600">
        <f>'טבלה מעודכנת '!C15</f>
        <v>8801.3150000000005</v>
      </c>
      <c r="K16" s="600">
        <f>'טבלה מעודכנת '!F15</f>
        <v>8439</v>
      </c>
      <c r="L16" s="600">
        <f>'טבלה מעודכנת '!G15</f>
        <v>4688.01</v>
      </c>
      <c r="M16" s="600">
        <f>'טבלה מעודכנת '!H15</f>
        <v>9169.7999999999993</v>
      </c>
      <c r="N16" s="600">
        <f>'טבלה מעודכנת '!I15</f>
        <v>0</v>
      </c>
      <c r="O16" s="600">
        <f>'טבלה מעודכנת '!M15</f>
        <v>7881.1859999999997</v>
      </c>
      <c r="P16" s="600">
        <f>'טבלה מעודכנת '!N15</f>
        <v>10458.710999999999</v>
      </c>
      <c r="Q16" s="600">
        <f>'טבלה מעודכנת '!O15</f>
        <v>10545.95</v>
      </c>
      <c r="R16" s="600">
        <f>'טבלה מעודכנת '!P15</f>
        <v>10545.95</v>
      </c>
      <c r="S16" s="972"/>
      <c r="T16" s="972"/>
    </row>
    <row r="17" spans="1:20" ht="15.75" x14ac:dyDescent="0.25">
      <c r="A17" s="589" t="s">
        <v>31</v>
      </c>
      <c r="B17" s="731"/>
      <c r="C17" s="731"/>
      <c r="D17" s="600">
        <v>0</v>
      </c>
      <c r="E17" s="600"/>
      <c r="F17" s="600"/>
      <c r="G17" s="600"/>
      <c r="H17" s="600">
        <v>0</v>
      </c>
      <c r="I17" s="600">
        <v>0</v>
      </c>
      <c r="J17" s="600"/>
      <c r="K17" s="587">
        <f>'טבלה מעודכנת '!F17</f>
        <v>0</v>
      </c>
      <c r="L17" s="587" t="e">
        <f>'טבלה מעודכנת '!G17</f>
        <v>#REF!</v>
      </c>
      <c r="M17" s="587" t="e">
        <f>'טבלה מעודכנת '!H17</f>
        <v>#REF!</v>
      </c>
      <c r="N17" s="587" t="e">
        <f>'טבלה מעודכנת '!I17</f>
        <v>#REF!</v>
      </c>
      <c r="O17" s="587" t="e">
        <f>'טבלה מעודכנת '!M17</f>
        <v>#REF!</v>
      </c>
      <c r="P17" s="587">
        <f>'טבלה מעודכנת '!N17</f>
        <v>0</v>
      </c>
      <c r="Q17" s="587">
        <f>'טבלה מעודכנת '!O17</f>
        <v>0</v>
      </c>
      <c r="R17" s="587">
        <f>'טבלה מעודכנת '!P17</f>
        <v>0</v>
      </c>
      <c r="S17" s="974"/>
      <c r="T17" s="974"/>
    </row>
    <row r="18" spans="1:20" ht="15" x14ac:dyDescent="0.25">
      <c r="A18" s="732" t="s">
        <v>30</v>
      </c>
      <c r="B18" s="731"/>
      <c r="C18" s="731"/>
      <c r="D18" s="600">
        <v>223</v>
      </c>
      <c r="E18" s="600">
        <f>G18-D18</f>
        <v>-223</v>
      </c>
      <c r="F18" s="600">
        <v>10</v>
      </c>
      <c r="G18" s="600"/>
      <c r="H18" s="600">
        <v>2356</v>
      </c>
      <c r="I18" s="600">
        <f>'טבלה מעודכנת '!B16</f>
        <v>0</v>
      </c>
      <c r="J18" s="600">
        <f>'טבלה מעודכנת '!C16</f>
        <v>529.73500000000001</v>
      </c>
      <c r="K18" s="600">
        <f>'טבלה מעודכנת '!F16</f>
        <v>0</v>
      </c>
      <c r="L18" s="600">
        <f>'טבלה מעודכנת '!G16</f>
        <v>518.5</v>
      </c>
      <c r="M18" s="600">
        <f>'טבלה מעודכנת '!H16</f>
        <v>1037</v>
      </c>
      <c r="N18" s="600">
        <f>'טבלה מעודכנת '!I16</f>
        <v>0</v>
      </c>
      <c r="O18" s="600">
        <f>'טבלה מעודכנת '!M16</f>
        <v>1005.8049999999999</v>
      </c>
      <c r="P18" s="600">
        <f>'טבלה מעודכנת '!N16</f>
        <v>1687.6590000000001</v>
      </c>
      <c r="Q18" s="600">
        <f>'טבלה מעודכנת '!O16</f>
        <v>343</v>
      </c>
      <c r="R18" s="600">
        <f>'טבלה מעודכנת '!P16</f>
        <v>343</v>
      </c>
      <c r="S18" s="972"/>
      <c r="T18" s="972"/>
    </row>
    <row r="19" spans="1:20" s="4" customFormat="1" ht="15" x14ac:dyDescent="0.25">
      <c r="A19" s="733" t="s">
        <v>32</v>
      </c>
      <c r="B19" s="734">
        <f>SUM(B13:B18)</f>
        <v>0</v>
      </c>
      <c r="C19" s="734">
        <f>SUM(C13:C18)</f>
        <v>0</v>
      </c>
      <c r="D19" s="593">
        <f>SUM(D13:D18)</f>
        <v>27870</v>
      </c>
      <c r="E19" s="593">
        <f t="shared" ref="E19:H19" si="2">SUM(E13:E18)</f>
        <v>1575</v>
      </c>
      <c r="F19" s="593">
        <f t="shared" si="2"/>
        <v>40</v>
      </c>
      <c r="G19" s="593">
        <f t="shared" si="2"/>
        <v>29445</v>
      </c>
      <c r="H19" s="593">
        <f t="shared" si="2"/>
        <v>33025</v>
      </c>
      <c r="I19" s="593">
        <f t="shared" ref="I19:R19" si="3">SUM(I13:I18)</f>
        <v>27890</v>
      </c>
      <c r="J19" s="593">
        <f t="shared" si="3"/>
        <v>30162.392</v>
      </c>
      <c r="K19" s="593">
        <f t="shared" si="3"/>
        <v>27890</v>
      </c>
      <c r="L19" s="593" t="e">
        <f t="shared" si="3"/>
        <v>#N/A</v>
      </c>
      <c r="M19" s="593" t="e">
        <f t="shared" si="3"/>
        <v>#REF!</v>
      </c>
      <c r="N19" s="593" t="e">
        <f t="shared" si="3"/>
        <v>#REF!</v>
      </c>
      <c r="O19" s="593" t="e">
        <f t="shared" si="3"/>
        <v>#REF!</v>
      </c>
      <c r="P19" s="593">
        <f t="shared" si="3"/>
        <v>36362.334000000003</v>
      </c>
      <c r="Q19" s="593">
        <f t="shared" si="3"/>
        <v>35843.619749999998</v>
      </c>
      <c r="R19" s="593">
        <f t="shared" si="3"/>
        <v>34347.219750000004</v>
      </c>
      <c r="S19" s="973"/>
      <c r="T19" s="973"/>
    </row>
    <row r="20" spans="1:20" ht="15" x14ac:dyDescent="0.25">
      <c r="A20" s="730" t="s">
        <v>33</v>
      </c>
      <c r="B20" s="731"/>
      <c r="C20" s="731"/>
      <c r="D20" s="600">
        <v>362</v>
      </c>
      <c r="E20" s="600">
        <f>G20-D20</f>
        <v>-362</v>
      </c>
      <c r="F20" s="600">
        <v>11</v>
      </c>
      <c r="G20" s="600">
        <v>0</v>
      </c>
      <c r="H20" s="600">
        <v>3692</v>
      </c>
      <c r="I20" s="600">
        <f>'טבלה מעודכנת '!B19</f>
        <v>0</v>
      </c>
      <c r="J20" s="600">
        <f>'טבלה מעודכנת '!C19</f>
        <v>0</v>
      </c>
      <c r="K20" s="600">
        <f>'טבלה מעודכנת '!F19</f>
        <v>0</v>
      </c>
      <c r="L20" s="600">
        <f>'טבלה מעודכנת '!G19</f>
        <v>0</v>
      </c>
      <c r="M20" s="600">
        <f>'טבלה מעודכנת '!H19</f>
        <v>0</v>
      </c>
      <c r="N20" s="600">
        <f>'טבלה מעודכנת '!I19</f>
        <v>0</v>
      </c>
      <c r="O20" s="600">
        <f>'טבלה מעודכנת '!M19</f>
        <v>0</v>
      </c>
      <c r="P20" s="600">
        <f>'טבלה מעודכנת '!N19</f>
        <v>0</v>
      </c>
      <c r="Q20" s="600">
        <f>'טבלה מעודכנת '!O19</f>
        <v>0</v>
      </c>
      <c r="R20" s="600">
        <f>'טבלה מעודכנת '!P19</f>
        <v>0</v>
      </c>
      <c r="S20" s="972"/>
      <c r="T20" s="972"/>
    </row>
    <row r="21" spans="1:20" ht="15" x14ac:dyDescent="0.25">
      <c r="A21" s="732" t="s">
        <v>34</v>
      </c>
      <c r="B21" s="731"/>
      <c r="C21" s="731"/>
      <c r="D21" s="602">
        <v>0</v>
      </c>
      <c r="E21" s="602">
        <f>G21-D21</f>
        <v>0</v>
      </c>
      <c r="F21" s="602">
        <v>12</v>
      </c>
      <c r="G21" s="602"/>
      <c r="H21" s="602">
        <v>0</v>
      </c>
      <c r="I21" s="602">
        <f>'טבלה מעודכנת '!B20</f>
        <v>300</v>
      </c>
      <c r="J21" s="602">
        <f>'טבלה מעודכנת '!C20</f>
        <v>8092.8130000000001</v>
      </c>
      <c r="K21" s="602">
        <f>'טבלה מעודכנת '!F20</f>
        <v>300</v>
      </c>
      <c r="L21" s="602">
        <f>'טבלה מעודכנת '!G20</f>
        <v>0</v>
      </c>
      <c r="M21" s="602">
        <f>'טבלה מעודכנת '!H20</f>
        <v>100</v>
      </c>
      <c r="N21" s="602">
        <f>'טבלה מעודכנת '!I20</f>
        <v>0</v>
      </c>
      <c r="O21" s="602">
        <f>'טבלה מעודכנת '!M20</f>
        <v>226.136</v>
      </c>
      <c r="P21" s="602">
        <f>'טבלה מעודכנת '!N20</f>
        <v>1180.662</v>
      </c>
      <c r="Q21" s="602">
        <f>'טבלה מעודכנת '!O20</f>
        <v>260</v>
      </c>
      <c r="R21" s="602">
        <f>'טבלה מעודכנת '!P20</f>
        <v>260</v>
      </c>
      <c r="S21" s="975"/>
      <c r="T21" s="975"/>
    </row>
    <row r="22" spans="1:20" s="4" customFormat="1" ht="15" x14ac:dyDescent="0.25">
      <c r="A22" s="733" t="s">
        <v>35</v>
      </c>
      <c r="B22" s="734">
        <f>B12+B19+B20+B21</f>
        <v>0</v>
      </c>
      <c r="C22" s="734">
        <f>C12+C19+C20+C21</f>
        <v>0</v>
      </c>
      <c r="D22" s="601">
        <f>D12+D19+D20+D21</f>
        <v>49742</v>
      </c>
      <c r="E22" s="601">
        <f t="shared" ref="E22:H22" si="4">E12+E19+E20+E21</f>
        <v>6420</v>
      </c>
      <c r="F22" s="601">
        <f t="shared" si="4"/>
        <v>78</v>
      </c>
      <c r="G22" s="601">
        <f t="shared" si="4"/>
        <v>56162</v>
      </c>
      <c r="H22" s="601">
        <f t="shared" si="4"/>
        <v>58677</v>
      </c>
      <c r="I22" s="601">
        <f t="shared" ref="I22:L22" si="5">I12+I19+I20+I21</f>
        <v>49741</v>
      </c>
      <c r="J22" s="601">
        <f t="shared" si="5"/>
        <v>55038.16</v>
      </c>
      <c r="K22" s="601">
        <f t="shared" si="5"/>
        <v>49741</v>
      </c>
      <c r="L22" s="601" t="e">
        <f t="shared" si="5"/>
        <v>#N/A</v>
      </c>
      <c r="M22" s="601" t="e">
        <f>M12+M19+M20+M21</f>
        <v>#REF!</v>
      </c>
      <c r="N22" s="601" t="e">
        <f t="shared" ref="N22:O22" si="6">N12+N19+N20+N21</f>
        <v>#REF!</v>
      </c>
      <c r="O22" s="601" t="e">
        <f t="shared" si="6"/>
        <v>#REF!</v>
      </c>
      <c r="P22" s="601">
        <f t="shared" ref="P22" si="7">P12+P19+P20+P21</f>
        <v>60672.560333333327</v>
      </c>
      <c r="Q22" s="601">
        <f t="shared" ref="Q22" si="8">Q12+Q19+Q20+Q21</f>
        <v>62600.629749999993</v>
      </c>
      <c r="R22" s="601">
        <f t="shared" ref="R22" si="9">R12+R19+R20+R21</f>
        <v>58023.479749999999</v>
      </c>
      <c r="S22" s="976"/>
      <c r="T22" s="976"/>
    </row>
    <row r="23" spans="1:20" ht="15" x14ac:dyDescent="0.25">
      <c r="A23" s="730" t="s">
        <v>36</v>
      </c>
      <c r="B23" s="731">
        <v>6500</v>
      </c>
      <c r="C23" s="731">
        <f>D23-B23</f>
        <v>-2230</v>
      </c>
      <c r="D23" s="600">
        <v>4270</v>
      </c>
      <c r="E23" s="600">
        <f>G23-D23</f>
        <v>0</v>
      </c>
      <c r="F23" s="600">
        <v>13</v>
      </c>
      <c r="G23" s="600">
        <v>4270</v>
      </c>
      <c r="H23" s="600">
        <v>4134</v>
      </c>
      <c r="I23" s="600">
        <f>'טבלה מעודכנת '!B22</f>
        <v>4270</v>
      </c>
      <c r="J23" s="600">
        <f>'טבלה מעודכנת '!C22</f>
        <v>3736.6060000000002</v>
      </c>
      <c r="K23" s="600">
        <f>'טבלה מעודכנת '!F22</f>
        <v>4270</v>
      </c>
      <c r="L23" s="600">
        <f>'טבלה מעודכנת '!G22</f>
        <v>1790.769</v>
      </c>
      <c r="M23" s="600">
        <f>'טבלה מעודכנת '!H22</f>
        <v>4570</v>
      </c>
      <c r="N23" s="600">
        <f>'טבלה מעודכנת '!I22</f>
        <v>0</v>
      </c>
      <c r="O23" s="600">
        <f>'טבלה מעודכנת '!M22</f>
        <v>3912.4450000000002</v>
      </c>
      <c r="P23" s="600">
        <f>'טבלה מעודכנת '!N22</f>
        <v>5283.8819999999996</v>
      </c>
      <c r="Q23" s="600">
        <f>'טבלה מעודכנת '!O22</f>
        <v>5284</v>
      </c>
      <c r="R23" s="600">
        <f>'טבלה מעודכנת '!P22</f>
        <v>5400</v>
      </c>
      <c r="S23" s="972"/>
      <c r="T23" s="972"/>
    </row>
    <row r="24" spans="1:20" ht="15" x14ac:dyDescent="0.25">
      <c r="A24" s="732" t="s">
        <v>37</v>
      </c>
      <c r="B24" s="731"/>
      <c r="C24" s="731"/>
      <c r="D24" s="600"/>
      <c r="E24" s="600">
        <f>G24-D24</f>
        <v>0</v>
      </c>
      <c r="F24" s="600">
        <v>14</v>
      </c>
      <c r="G24" s="600"/>
      <c r="H24" s="600">
        <v>10527</v>
      </c>
      <c r="I24" s="600">
        <f>'טבלה מעודכנת '!B23</f>
        <v>0</v>
      </c>
      <c r="J24" s="600">
        <f>'טבלה מעודכנת '!C23</f>
        <v>4598</v>
      </c>
      <c r="K24" s="600">
        <f>'טבלה מעודכנת '!F23</f>
        <v>0</v>
      </c>
      <c r="L24" s="600">
        <f>'טבלה מעודכנת '!G23</f>
        <v>0</v>
      </c>
      <c r="M24" s="600">
        <f>'טבלה מעודכנת '!H23</f>
        <v>0</v>
      </c>
      <c r="N24" s="600">
        <f>'טבלה מעודכנת '!I23</f>
        <v>0</v>
      </c>
      <c r="O24" s="600">
        <f>'טבלה מעודכנת '!M23</f>
        <v>0</v>
      </c>
      <c r="P24" s="600">
        <f>'טבלה מעודכנת '!N23</f>
        <v>0</v>
      </c>
      <c r="Q24" s="600">
        <f>'טבלה מעודכנת '!O23</f>
        <v>0</v>
      </c>
      <c r="R24" s="600">
        <f>'טבלה מעודכנת '!P23</f>
        <v>0</v>
      </c>
      <c r="S24" s="972"/>
      <c r="T24" s="972"/>
    </row>
    <row r="25" spans="1:20" s="4" customFormat="1" ht="15" x14ac:dyDescent="0.25">
      <c r="A25" s="733" t="s">
        <v>38</v>
      </c>
      <c r="B25" s="734">
        <f>B22+B23+B24</f>
        <v>6500</v>
      </c>
      <c r="C25" s="734">
        <f>C22+C23+C24</f>
        <v>-2230</v>
      </c>
      <c r="D25" s="593">
        <f>D22+D23+D24</f>
        <v>54012</v>
      </c>
      <c r="E25" s="593">
        <f t="shared" ref="E25:H25" si="10">E22+E23+E24</f>
        <v>6420</v>
      </c>
      <c r="F25" s="593">
        <f t="shared" si="10"/>
        <v>105</v>
      </c>
      <c r="G25" s="593">
        <f t="shared" si="10"/>
        <v>60432</v>
      </c>
      <c r="H25" s="593">
        <f t="shared" si="10"/>
        <v>73338</v>
      </c>
      <c r="I25" s="593">
        <f t="shared" ref="I25:R25" si="11">I22+I23+I24</f>
        <v>54011</v>
      </c>
      <c r="J25" s="593">
        <f t="shared" si="11"/>
        <v>63372.766000000003</v>
      </c>
      <c r="K25" s="593">
        <f t="shared" si="11"/>
        <v>54011</v>
      </c>
      <c r="L25" s="593" t="e">
        <f t="shared" si="11"/>
        <v>#N/A</v>
      </c>
      <c r="M25" s="593" t="e">
        <f t="shared" si="11"/>
        <v>#REF!</v>
      </c>
      <c r="N25" s="593" t="e">
        <f t="shared" si="11"/>
        <v>#REF!</v>
      </c>
      <c r="O25" s="593" t="e">
        <f t="shared" si="11"/>
        <v>#REF!</v>
      </c>
      <c r="P25" s="593">
        <f t="shared" si="11"/>
        <v>65956.442333333325</v>
      </c>
      <c r="Q25" s="593">
        <f t="shared" si="11"/>
        <v>67884.629749999993</v>
      </c>
      <c r="R25" s="593">
        <f t="shared" si="11"/>
        <v>63423.479749999999</v>
      </c>
      <c r="S25" s="973"/>
      <c r="T25" s="973"/>
    </row>
    <row r="26" spans="1:20" ht="15" x14ac:dyDescent="0.25">
      <c r="A26" s="730" t="s">
        <v>39</v>
      </c>
      <c r="B26" s="731"/>
      <c r="C26" s="731"/>
      <c r="D26" s="600">
        <v>0</v>
      </c>
      <c r="E26" s="600">
        <f>G26-D26</f>
        <v>1536</v>
      </c>
      <c r="F26" s="600">
        <v>15</v>
      </c>
      <c r="G26" s="600">
        <v>1536</v>
      </c>
      <c r="H26" s="600">
        <v>0</v>
      </c>
      <c r="I26" s="600">
        <f>'טבלה מעודכנת '!B25</f>
        <v>0</v>
      </c>
      <c r="J26" s="600">
        <f>'טבלה מעודכנת '!C25</f>
        <v>1282.856</v>
      </c>
      <c r="K26" s="600">
        <f>'טבלה מעודכנת '!F25</f>
        <v>0</v>
      </c>
      <c r="L26" s="600">
        <f>'טבלה מעודכנת '!G25</f>
        <v>564.81700000000001</v>
      </c>
      <c r="M26" s="600">
        <f>'טבלה מעודכנת '!H25</f>
        <v>1618.2</v>
      </c>
      <c r="N26" s="600">
        <f>'טבלה מעודכנת '!I25</f>
        <v>0</v>
      </c>
      <c r="O26" s="600">
        <f>'טבלה מעודכנת '!M25</f>
        <v>564.81700000000001</v>
      </c>
      <c r="P26" s="600">
        <f>'טבלה מעודכנת '!N25</f>
        <v>2947.5819999999999</v>
      </c>
      <c r="Q26" s="600">
        <f>'טבלה מעודכנת '!O25</f>
        <v>1861</v>
      </c>
      <c r="R26" s="600">
        <f>'טבלה מעודכנת '!P25</f>
        <v>1861</v>
      </c>
      <c r="S26" s="972"/>
      <c r="T26" s="972"/>
    </row>
    <row r="27" spans="1:20" s="4" customFormat="1" ht="15" x14ac:dyDescent="0.25">
      <c r="A27" s="733" t="s">
        <v>40</v>
      </c>
      <c r="B27" s="734">
        <f>SUM(B25:B26)</f>
        <v>6500</v>
      </c>
      <c r="C27" s="734">
        <f>SUM(C25:C26)</f>
        <v>-2230</v>
      </c>
      <c r="D27" s="593">
        <f>SUM(D25:D26)</f>
        <v>54012</v>
      </c>
      <c r="E27" s="593">
        <f t="shared" ref="E27:H27" si="12">SUM(E25:E26)</f>
        <v>7956</v>
      </c>
      <c r="F27" s="593">
        <f t="shared" si="12"/>
        <v>120</v>
      </c>
      <c r="G27" s="593">
        <f t="shared" si="12"/>
        <v>61968</v>
      </c>
      <c r="H27" s="593">
        <f t="shared" si="12"/>
        <v>73338</v>
      </c>
      <c r="I27" s="593">
        <f t="shared" ref="I27:R27" si="13">SUM(I25:I26)</f>
        <v>54011</v>
      </c>
      <c r="J27" s="593">
        <f t="shared" si="13"/>
        <v>64655.622000000003</v>
      </c>
      <c r="K27" s="593">
        <f t="shared" si="13"/>
        <v>54011</v>
      </c>
      <c r="L27" s="593" t="e">
        <f t="shared" si="13"/>
        <v>#N/A</v>
      </c>
      <c r="M27" s="593" t="e">
        <f t="shared" si="13"/>
        <v>#REF!</v>
      </c>
      <c r="N27" s="593" t="e">
        <f t="shared" si="13"/>
        <v>#REF!</v>
      </c>
      <c r="O27" s="593" t="e">
        <f t="shared" si="13"/>
        <v>#REF!</v>
      </c>
      <c r="P27" s="593">
        <f t="shared" si="13"/>
        <v>68904.02433333332</v>
      </c>
      <c r="Q27" s="593">
        <f t="shared" si="13"/>
        <v>69745.629749999993</v>
      </c>
      <c r="R27" s="593">
        <f t="shared" si="13"/>
        <v>65284.479749999999</v>
      </c>
      <c r="S27" s="973"/>
      <c r="T27" s="973"/>
    </row>
    <row r="28" spans="1:20" ht="18.75" x14ac:dyDescent="0.2">
      <c r="A28" s="1314" t="s">
        <v>41</v>
      </c>
      <c r="B28" s="1315"/>
      <c r="C28" s="1315"/>
      <c r="D28" s="1315"/>
      <c r="E28" s="1315"/>
      <c r="F28" s="1315"/>
      <c r="G28" s="1315"/>
      <c r="H28" s="1315"/>
      <c r="I28" s="1315"/>
      <c r="J28" s="1315"/>
      <c r="K28" s="1315"/>
      <c r="L28" s="1315"/>
      <c r="M28" s="1315"/>
      <c r="N28" s="1316"/>
      <c r="O28" s="971"/>
      <c r="P28" s="971"/>
      <c r="Q28" s="971"/>
      <c r="R28" s="971"/>
      <c r="S28" s="971"/>
      <c r="T28" s="971"/>
    </row>
    <row r="29" spans="1:20" ht="15" x14ac:dyDescent="0.25">
      <c r="A29" s="730" t="s">
        <v>42</v>
      </c>
      <c r="B29" s="731">
        <v>17255</v>
      </c>
      <c r="C29" s="731">
        <f>D29-B29</f>
        <v>-6859</v>
      </c>
      <c r="D29" s="600">
        <v>10396</v>
      </c>
      <c r="E29" s="600">
        <f>G29-D29</f>
        <v>1113</v>
      </c>
      <c r="F29" s="600">
        <v>16</v>
      </c>
      <c r="G29" s="600">
        <v>11509</v>
      </c>
      <c r="H29" s="600">
        <v>10297</v>
      </c>
      <c r="I29" s="600">
        <f>'טבלה מעודכנת '!B29</f>
        <v>10395</v>
      </c>
      <c r="J29" s="600">
        <f>'טבלה מעודכנת '!C29</f>
        <v>5025</v>
      </c>
      <c r="K29" s="600">
        <f>'טבלה מעודכנת '!F29</f>
        <v>10395</v>
      </c>
      <c r="L29" s="600">
        <f>'טבלה מעודכנת '!G29</f>
        <v>4707.0469999999996</v>
      </c>
      <c r="M29" s="600">
        <f>'טבלה מעודכנת '!H29</f>
        <v>10322.954416666666</v>
      </c>
      <c r="N29" s="600" t="e">
        <f>'טבלה מעודכנת '!I29</f>
        <v>#VALUE!</v>
      </c>
      <c r="O29" s="600">
        <f>'טבלה מעודכנת '!M29</f>
        <v>7156.0512299999991</v>
      </c>
      <c r="P29" s="600">
        <f>'טבלה מעודכנת '!N29</f>
        <v>9506.4336999999996</v>
      </c>
      <c r="Q29" s="600">
        <f>'טבלה מעודכנת '!O29</f>
        <v>10481.009325980953</v>
      </c>
      <c r="R29" s="600">
        <f>'טבלה מעודכנת '!P29</f>
        <v>10116.42366317943</v>
      </c>
      <c r="S29" s="972"/>
      <c r="T29" s="972"/>
    </row>
    <row r="30" spans="1:20" ht="15" x14ac:dyDescent="0.25">
      <c r="A30" s="730" t="s">
        <v>43</v>
      </c>
      <c r="B30" s="731">
        <v>18510</v>
      </c>
      <c r="C30" s="731">
        <f>D30-B30</f>
        <v>-7183</v>
      </c>
      <c r="D30" s="600">
        <v>11327</v>
      </c>
      <c r="E30" s="600">
        <f>G30-D30</f>
        <v>2683</v>
      </c>
      <c r="F30" s="600">
        <v>17</v>
      </c>
      <c r="G30" s="600">
        <v>14010</v>
      </c>
      <c r="H30" s="600">
        <v>13746</v>
      </c>
      <c r="I30" s="600">
        <f>'טבלה מעודכנת '!B30</f>
        <v>11003</v>
      </c>
      <c r="J30" s="600">
        <f ca="1">'טבלה מעודכנת '!C30</f>
        <v>14380.178</v>
      </c>
      <c r="K30" s="600">
        <f>'טבלה מעודכנת '!F30</f>
        <v>11003</v>
      </c>
      <c r="L30" s="600">
        <f ca="1">'טבלה מעודכנת '!G30</f>
        <v>6219.9980000000005</v>
      </c>
      <c r="M30" s="600">
        <f ca="1">'טבלה מעודכנת '!H30</f>
        <v>15596.273000000001</v>
      </c>
      <c r="N30" s="600" t="e">
        <f ca="1">'טבלה מעודכנת '!I30</f>
        <v>#VALUE!</v>
      </c>
      <c r="O30" s="600">
        <f ca="1">'טבלה מעודכנת '!M30</f>
        <v>9846.3930000000018</v>
      </c>
      <c r="P30" s="600">
        <f ca="1">'טבלה מעודכנת '!N30</f>
        <v>14752.532333333331</v>
      </c>
      <c r="Q30" s="600">
        <f ca="1">'טבלה מעודכנת '!O30</f>
        <v>13709.427561800005</v>
      </c>
      <c r="R30" s="600">
        <f ca="1">'טבלה מעודכנת '!P30</f>
        <v>12431.826999999997</v>
      </c>
      <c r="S30" s="972"/>
      <c r="T30" s="972"/>
    </row>
    <row r="31" spans="1:20" ht="15" x14ac:dyDescent="0.25">
      <c r="A31" s="732" t="s">
        <v>22</v>
      </c>
      <c r="B31" s="731">
        <v>8000</v>
      </c>
      <c r="C31" s="731">
        <f>D31-B31</f>
        <v>-300</v>
      </c>
      <c r="D31" s="600">
        <v>7700</v>
      </c>
      <c r="E31" s="600">
        <f>G31-D31</f>
        <v>0</v>
      </c>
      <c r="F31" s="600">
        <v>18</v>
      </c>
      <c r="G31" s="600">
        <v>7700</v>
      </c>
      <c r="H31" s="600">
        <v>9691</v>
      </c>
      <c r="I31" s="600">
        <f>'טבלה מעודכנת '!B31</f>
        <v>8024</v>
      </c>
      <c r="J31" s="600">
        <f>'טבלה מעודכנת '!C31</f>
        <v>10089.316000000001</v>
      </c>
      <c r="K31" s="600">
        <f>'טבלה מעודכנת '!F31</f>
        <v>8024</v>
      </c>
      <c r="L31" s="600">
        <f>'טבלה מעודכנת '!G31</f>
        <v>3341.252</v>
      </c>
      <c r="M31" s="600">
        <f>'טבלה מעודכנת '!H31</f>
        <v>11638.168</v>
      </c>
      <c r="N31" s="600">
        <f>'טבלה מעודכנת '!I31</f>
        <v>0</v>
      </c>
      <c r="O31" s="600">
        <f>'טבלה מעודכנת '!M31</f>
        <v>5269.424</v>
      </c>
      <c r="P31" s="600">
        <f>'טבלה מעודכנת '!N31</f>
        <v>6741.55</v>
      </c>
      <c r="Q31" s="600">
        <f>'טבלה מעודכנת '!O31</f>
        <v>6729.8064381999993</v>
      </c>
      <c r="R31" s="600">
        <f>'טבלה מעודכנת '!P31</f>
        <v>0</v>
      </c>
      <c r="S31" s="972"/>
      <c r="T31" s="972"/>
    </row>
    <row r="32" spans="1:20" s="4" customFormat="1" ht="15" x14ac:dyDescent="0.25">
      <c r="A32" s="733" t="s">
        <v>44</v>
      </c>
      <c r="B32" s="734">
        <f>SUM(B29:B31)</f>
        <v>43765</v>
      </c>
      <c r="C32" s="734">
        <f>SUM(C29:C31)</f>
        <v>-14342</v>
      </c>
      <c r="D32" s="593">
        <f>SUM(D29:D31)</f>
        <v>29423</v>
      </c>
      <c r="E32" s="593">
        <f t="shared" ref="E32:H32" si="14">SUM(E29:E31)</f>
        <v>3796</v>
      </c>
      <c r="F32" s="593">
        <f t="shared" si="14"/>
        <v>51</v>
      </c>
      <c r="G32" s="593">
        <f t="shared" si="14"/>
        <v>33219</v>
      </c>
      <c r="H32" s="593">
        <f t="shared" si="14"/>
        <v>33734</v>
      </c>
      <c r="I32" s="593">
        <f t="shared" ref="I32:R32" si="15">SUM(I29:I31)</f>
        <v>29422</v>
      </c>
      <c r="J32" s="593">
        <f t="shared" ca="1" si="15"/>
        <v>29494.493999999999</v>
      </c>
      <c r="K32" s="593">
        <f t="shared" si="15"/>
        <v>29422</v>
      </c>
      <c r="L32" s="593">
        <f t="shared" ca="1" si="15"/>
        <v>14268.297</v>
      </c>
      <c r="M32" s="593">
        <f t="shared" ca="1" si="15"/>
        <v>37557.395416666666</v>
      </c>
      <c r="N32" s="593" t="e">
        <f t="shared" si="15"/>
        <v>#VALUE!</v>
      </c>
      <c r="O32" s="593">
        <f t="shared" ca="1" si="15"/>
        <v>22271.86823</v>
      </c>
      <c r="P32" s="593">
        <f t="shared" ca="1" si="15"/>
        <v>31000.51603333333</v>
      </c>
      <c r="Q32" s="593">
        <f t="shared" ca="1" si="15"/>
        <v>30920.243325980955</v>
      </c>
      <c r="R32" s="593">
        <f t="shared" ca="1" si="15"/>
        <v>22548.250663179428</v>
      </c>
      <c r="S32" s="973"/>
      <c r="T32" s="973"/>
    </row>
    <row r="33" spans="1:20" ht="15" x14ac:dyDescent="0.25">
      <c r="A33" s="730" t="s">
        <v>45</v>
      </c>
      <c r="B33" s="731">
        <v>11392</v>
      </c>
      <c r="C33" s="731">
        <f>D33-B33</f>
        <v>-2845</v>
      </c>
      <c r="D33" s="600">
        <v>8547</v>
      </c>
      <c r="E33" s="600">
        <f>G33-D33</f>
        <v>389</v>
      </c>
      <c r="F33" s="600">
        <v>19</v>
      </c>
      <c r="G33" s="600">
        <v>8936</v>
      </c>
      <c r="H33" s="600">
        <v>9096</v>
      </c>
      <c r="I33" s="600">
        <f>'טבלה מעודכנת '!B33</f>
        <v>8547</v>
      </c>
      <c r="J33" s="600">
        <f>'טבלה מעודכנת '!C33</f>
        <v>5208</v>
      </c>
      <c r="K33" s="600">
        <f>'טבלה מעודכנת '!F33</f>
        <v>8547</v>
      </c>
      <c r="L33" s="600">
        <f>'טבלה מעודכנת '!G33</f>
        <v>6262.6080000000002</v>
      </c>
      <c r="M33" s="600">
        <f>'טבלה מעודכנת '!H33</f>
        <v>11021.975</v>
      </c>
      <c r="N33" s="600">
        <f>'טבלה מעודכנת '!I33</f>
        <v>0</v>
      </c>
      <c r="O33" s="600">
        <f>'טבלה מעודכנת '!M33</f>
        <v>8987.3196200000002</v>
      </c>
      <c r="P33" s="600">
        <f>'טבלה מעודכנת '!N33</f>
        <v>11485.897999999999</v>
      </c>
      <c r="Q33" s="600">
        <f>'טבלה מעודכנת '!O33</f>
        <v>10768.643644599999</v>
      </c>
      <c r="R33" s="600">
        <f>'טבלה מעודכנת '!P33</f>
        <v>7914.5662311599999</v>
      </c>
      <c r="S33" s="972"/>
      <c r="T33" s="972"/>
    </row>
    <row r="34" spans="1:20" ht="15" x14ac:dyDescent="0.25">
      <c r="A34" s="732" t="s">
        <v>46</v>
      </c>
      <c r="B34" s="731">
        <v>13158</v>
      </c>
      <c r="C34" s="731">
        <f>D34-B34</f>
        <v>-3071</v>
      </c>
      <c r="D34" s="600">
        <v>10087</v>
      </c>
      <c r="E34" s="600">
        <f>G34-D34</f>
        <v>1521</v>
      </c>
      <c r="F34" s="600">
        <v>20</v>
      </c>
      <c r="G34" s="600">
        <v>11608</v>
      </c>
      <c r="H34" s="600">
        <v>10302</v>
      </c>
      <c r="I34" s="600">
        <f>'טבלה מעודכנת '!B34</f>
        <v>9907</v>
      </c>
      <c r="J34" s="600">
        <f>'טבלה מעודכנת '!C34</f>
        <v>12179.212</v>
      </c>
      <c r="K34" s="600">
        <f>'טבלה מעודכנת '!F34</f>
        <v>9907</v>
      </c>
      <c r="L34" s="600">
        <f>'טבלה מעודכנת '!G34</f>
        <v>5055.5239999999994</v>
      </c>
      <c r="M34" s="600">
        <f>'טבלה מעודכנת '!H34</f>
        <v>12474.257</v>
      </c>
      <c r="N34" s="600">
        <f>'טבלה מעודכנת '!I34</f>
        <v>0</v>
      </c>
      <c r="O34" s="600">
        <f>'טבלה מעודכנת '!M34</f>
        <v>8471.3009999999977</v>
      </c>
      <c r="P34" s="600">
        <f>'טבלה מעודכנת '!N34</f>
        <v>11808.45466666667</v>
      </c>
      <c r="Q34" s="600">
        <f>'טבלה מעודכנת '!O34</f>
        <v>12130.801777866671</v>
      </c>
      <c r="R34" s="600">
        <f>'טבלה מעודכנת '!P34</f>
        <v>14399.784720240001</v>
      </c>
      <c r="S34" s="972"/>
      <c r="T34" s="972"/>
    </row>
    <row r="35" spans="1:20" s="4" customFormat="1" ht="15" x14ac:dyDescent="0.25">
      <c r="A35" s="733" t="s">
        <v>47</v>
      </c>
      <c r="B35" s="734">
        <f>SUM(B33:B34)</f>
        <v>24550</v>
      </c>
      <c r="C35" s="734">
        <f>SUM(C33:C34)</f>
        <v>-5916</v>
      </c>
      <c r="D35" s="593">
        <f>SUM(D33:D34)</f>
        <v>18634</v>
      </c>
      <c r="E35" s="593">
        <f t="shared" ref="E35:H35" si="16">SUM(E33:E34)</f>
        <v>1910</v>
      </c>
      <c r="F35" s="593">
        <f t="shared" si="16"/>
        <v>39</v>
      </c>
      <c r="G35" s="593">
        <f t="shared" si="16"/>
        <v>20544</v>
      </c>
      <c r="H35" s="593">
        <f t="shared" si="16"/>
        <v>19398</v>
      </c>
      <c r="I35" s="593">
        <f t="shared" ref="I35:R35" si="17">SUM(I33:I34)</f>
        <v>18454</v>
      </c>
      <c r="J35" s="593">
        <f t="shared" si="17"/>
        <v>17387.212</v>
      </c>
      <c r="K35" s="593">
        <f t="shared" si="17"/>
        <v>18454</v>
      </c>
      <c r="L35" s="593">
        <f t="shared" si="17"/>
        <v>11318.132</v>
      </c>
      <c r="M35" s="593">
        <f t="shared" si="17"/>
        <v>23496.232</v>
      </c>
      <c r="N35" s="593">
        <f t="shared" si="17"/>
        <v>0</v>
      </c>
      <c r="O35" s="593">
        <f t="shared" si="17"/>
        <v>17458.620619999998</v>
      </c>
      <c r="P35" s="593">
        <f t="shared" si="17"/>
        <v>23294.352666666669</v>
      </c>
      <c r="Q35" s="593">
        <f t="shared" si="17"/>
        <v>22899.44542246667</v>
      </c>
      <c r="R35" s="593">
        <f t="shared" si="17"/>
        <v>22314.3509514</v>
      </c>
      <c r="S35" s="973"/>
      <c r="T35" s="973"/>
    </row>
    <row r="36" spans="1:20" ht="15" x14ac:dyDescent="0.25">
      <c r="A36" s="730" t="s">
        <v>48</v>
      </c>
      <c r="B36" s="731">
        <v>2393</v>
      </c>
      <c r="C36" s="731">
        <f>D36-B36</f>
        <v>-520</v>
      </c>
      <c r="D36" s="600">
        <v>1873</v>
      </c>
      <c r="E36" s="600">
        <f>G36-D36</f>
        <v>382</v>
      </c>
      <c r="F36" s="600">
        <v>21</v>
      </c>
      <c r="G36" s="600">
        <v>2255</v>
      </c>
      <c r="H36" s="600">
        <v>1889</v>
      </c>
      <c r="I36" s="600">
        <f>'טבלה מעודכנת '!B36</f>
        <v>1873</v>
      </c>
      <c r="J36" s="600">
        <f>'טבלה מעודכנת '!C36</f>
        <v>1208</v>
      </c>
      <c r="K36" s="600">
        <f>'טבלה מעודכנת '!F36</f>
        <v>1873</v>
      </c>
      <c r="L36" s="600">
        <f>'טבלה מעודכנת '!G36</f>
        <v>1205.9179999999999</v>
      </c>
      <c r="M36" s="600">
        <f>'טבלה מעודכנת '!H36</f>
        <v>2825.8180000000002</v>
      </c>
      <c r="N36" s="600">
        <f>'טבלה מעודכנת '!I36</f>
        <v>0</v>
      </c>
      <c r="O36" s="600">
        <f>'טבלה מעודכנת '!M36</f>
        <v>1800.8310800000002</v>
      </c>
      <c r="P36" s="600">
        <f>'טבלה מעודכנת '!N36</f>
        <v>2351.77</v>
      </c>
      <c r="Q36" s="600">
        <f>'טבלה מעודכנת '!O36</f>
        <v>2366.2627040666666</v>
      </c>
      <c r="R36" s="600">
        <f>'טבלה מעודכנת '!P36</f>
        <v>2413.5879581479999</v>
      </c>
      <c r="S36" s="972"/>
      <c r="T36" s="972"/>
    </row>
    <row r="37" spans="1:20" ht="15" x14ac:dyDescent="0.25">
      <c r="A37" s="732" t="s">
        <v>49</v>
      </c>
      <c r="B37" s="731">
        <v>6999</v>
      </c>
      <c r="C37" s="731">
        <f>D37-B37</f>
        <v>-2179</v>
      </c>
      <c r="D37" s="600">
        <v>4820</v>
      </c>
      <c r="E37" s="600">
        <f>G37-D37</f>
        <v>15</v>
      </c>
      <c r="F37" s="600">
        <v>22</v>
      </c>
      <c r="G37" s="600">
        <v>4835</v>
      </c>
      <c r="H37" s="600">
        <v>5260</v>
      </c>
      <c r="I37" s="600">
        <f>'טבלה מעודכנת '!B37</f>
        <v>4820</v>
      </c>
      <c r="J37" s="600">
        <f>'טבלה מעודכנת '!C37</f>
        <v>5533.3580000000002</v>
      </c>
      <c r="K37" s="600">
        <f>'טבלה מעודכנת '!F37</f>
        <v>4820</v>
      </c>
      <c r="L37" s="600">
        <f>'טבלה מעודכנת '!G37</f>
        <v>2836.0219999999999</v>
      </c>
      <c r="M37" s="600">
        <f>'טבלה מעודכנת '!H37</f>
        <v>5651.7040000000006</v>
      </c>
      <c r="N37" s="600">
        <f>'טבלה מעודכנת '!I37</f>
        <v>0</v>
      </c>
      <c r="O37" s="600">
        <f>'טבלה מעודכנת '!M37</f>
        <v>4669.4719999999998</v>
      </c>
      <c r="P37" s="600">
        <f>'טבלה מעודכנת '!N37</f>
        <v>6264.8709999999992</v>
      </c>
      <c r="Q37" s="600">
        <f>'טבלה מעודכנת '!O37</f>
        <v>6012.5067500000005</v>
      </c>
      <c r="R37" s="600">
        <f>'טבלה מעודכנת '!P37</f>
        <v>6012.5067499999986</v>
      </c>
      <c r="S37" s="972"/>
      <c r="T37" s="972"/>
    </row>
    <row r="38" spans="1:20" s="4" customFormat="1" ht="15" x14ac:dyDescent="0.25">
      <c r="A38" s="733" t="s">
        <v>50</v>
      </c>
      <c r="B38" s="734">
        <f>SUM(B36:B37)</f>
        <v>9392</v>
      </c>
      <c r="C38" s="734">
        <f>SUM(C36:C37)</f>
        <v>-2699</v>
      </c>
      <c r="D38" s="593">
        <f>SUM(D36:D37)</f>
        <v>6693</v>
      </c>
      <c r="E38" s="593">
        <f t="shared" ref="E38:H38" si="18">SUM(E36:E37)</f>
        <v>397</v>
      </c>
      <c r="F38" s="593">
        <f t="shared" si="18"/>
        <v>43</v>
      </c>
      <c r="G38" s="593">
        <f t="shared" si="18"/>
        <v>7090</v>
      </c>
      <c r="H38" s="593">
        <f t="shared" si="18"/>
        <v>7149</v>
      </c>
      <c r="I38" s="593">
        <f t="shared" ref="I38:R38" si="19">SUM(I36:I37)</f>
        <v>6693</v>
      </c>
      <c r="J38" s="593">
        <f t="shared" si="19"/>
        <v>6741.3580000000002</v>
      </c>
      <c r="K38" s="593">
        <f t="shared" si="19"/>
        <v>6693</v>
      </c>
      <c r="L38" s="593">
        <f t="shared" si="19"/>
        <v>4041.9399999999996</v>
      </c>
      <c r="M38" s="593">
        <f t="shared" si="19"/>
        <v>8477.5220000000008</v>
      </c>
      <c r="N38" s="593">
        <f t="shared" si="19"/>
        <v>0</v>
      </c>
      <c r="O38" s="593">
        <f t="shared" si="19"/>
        <v>6470.3030799999997</v>
      </c>
      <c r="P38" s="593">
        <f t="shared" si="19"/>
        <v>8616.6409999999996</v>
      </c>
      <c r="Q38" s="593">
        <f t="shared" si="19"/>
        <v>8378.7694540666671</v>
      </c>
      <c r="R38" s="593">
        <f t="shared" si="19"/>
        <v>8426.094708147999</v>
      </c>
      <c r="S38" s="973"/>
      <c r="T38" s="973"/>
    </row>
    <row r="39" spans="1:20" ht="15" x14ac:dyDescent="0.25">
      <c r="A39" s="730" t="s">
        <v>51</v>
      </c>
      <c r="B39" s="731">
        <v>7500</v>
      </c>
      <c r="C39" s="731">
        <f>D39-B39</f>
        <v>-5243</v>
      </c>
      <c r="D39" s="600">
        <v>2257</v>
      </c>
      <c r="E39" s="600">
        <f>G39-D39</f>
        <v>14</v>
      </c>
      <c r="F39" s="600">
        <v>23</v>
      </c>
      <c r="G39" s="600">
        <v>2271</v>
      </c>
      <c r="H39" s="600">
        <v>2179</v>
      </c>
      <c r="I39" s="600">
        <f>'טבלה מעודכנת '!B39</f>
        <v>2257</v>
      </c>
      <c r="J39" s="600">
        <f>'טבלה מעודכנת '!C39</f>
        <v>2127.2600000000002</v>
      </c>
      <c r="K39" s="600">
        <f>'טבלה מעודכנת '!F39</f>
        <v>2257</v>
      </c>
      <c r="L39" s="600">
        <f>'טבלה מעודכנת '!G39</f>
        <v>1026.479</v>
      </c>
      <c r="M39" s="600">
        <f>'טבלה מעודכנת '!H39</f>
        <v>2320.6469999999999</v>
      </c>
      <c r="N39" s="600">
        <f>'טבלה מעודכנת '!I39</f>
        <v>0</v>
      </c>
      <c r="O39" s="600">
        <f>'טבלה מעודכנת '!M39</f>
        <v>1538.3510000000001</v>
      </c>
      <c r="P39" s="600">
        <f>'טבלה מעודכנת '!N39</f>
        <v>2042.692</v>
      </c>
      <c r="Q39" s="600">
        <f>'טבלה מעודכנת '!O39</f>
        <v>2042.6</v>
      </c>
      <c r="R39" s="600">
        <f>'טבלה מעודכנת '!P39</f>
        <v>0</v>
      </c>
      <c r="S39" s="972"/>
      <c r="T39" s="972"/>
    </row>
    <row r="40" spans="1:20" ht="15" x14ac:dyDescent="0.25">
      <c r="A40" s="732" t="s">
        <v>52</v>
      </c>
      <c r="B40" s="731">
        <v>6100</v>
      </c>
      <c r="C40" s="731">
        <f>D40-B40</f>
        <v>-3898</v>
      </c>
      <c r="D40" s="600">
        <f>4459-D39</f>
        <v>2202</v>
      </c>
      <c r="E40" s="600">
        <f>G40-D40</f>
        <v>228</v>
      </c>
      <c r="F40" s="600">
        <v>24</v>
      </c>
      <c r="G40" s="600">
        <v>2430</v>
      </c>
      <c r="H40" s="600">
        <f>4406-H39</f>
        <v>2227</v>
      </c>
      <c r="I40" s="600">
        <f>'טבלה מעודכנת '!B40</f>
        <v>2202</v>
      </c>
      <c r="J40" s="600">
        <f>'טבלה מעודכנת '!C40</f>
        <v>8972.3029999999999</v>
      </c>
      <c r="K40" s="600">
        <f>'טבלה מעודכנת '!F40</f>
        <v>2202</v>
      </c>
      <c r="L40" s="600">
        <f>'טבלה מעודכנת '!G40</f>
        <v>578.14200000000005</v>
      </c>
      <c r="M40" s="600">
        <f>'טבלה מעודכנת '!H40</f>
        <v>1156.2840000000001</v>
      </c>
      <c r="N40" s="600">
        <f>'טבלה מעודכנת '!I40</f>
        <v>0</v>
      </c>
      <c r="O40" s="600">
        <f>'טבלה מעודכנת '!M40</f>
        <v>810.56200000000001</v>
      </c>
      <c r="P40" s="600">
        <f>'טבלה מעודכנת '!N40</f>
        <v>1349.1210000000001</v>
      </c>
      <c r="Q40" s="600">
        <f>'טבלה מעודכנת '!O40</f>
        <v>2026</v>
      </c>
      <c r="R40" s="600">
        <f>'טבלה מעודכנת '!P40</f>
        <v>4542</v>
      </c>
      <c r="S40" s="972"/>
      <c r="T40" s="972"/>
    </row>
    <row r="41" spans="1:20" s="4" customFormat="1" ht="15" x14ac:dyDescent="0.25">
      <c r="A41" s="733" t="s">
        <v>53</v>
      </c>
      <c r="B41" s="734">
        <f>SUM(B39:B40)</f>
        <v>13600</v>
      </c>
      <c r="C41" s="734">
        <f>SUM(C39:C40)</f>
        <v>-9141</v>
      </c>
      <c r="D41" s="593">
        <f>SUM(D39:D40)</f>
        <v>4459</v>
      </c>
      <c r="E41" s="593">
        <f t="shared" ref="E41:H41" si="20">SUM(E39:E40)</f>
        <v>242</v>
      </c>
      <c r="F41" s="593">
        <f t="shared" si="20"/>
        <v>47</v>
      </c>
      <c r="G41" s="593">
        <f t="shared" si="20"/>
        <v>4701</v>
      </c>
      <c r="H41" s="593">
        <f t="shared" si="20"/>
        <v>4406</v>
      </c>
      <c r="I41" s="593">
        <f t="shared" ref="I41:R41" si="21">SUM(I39:I40)</f>
        <v>4459</v>
      </c>
      <c r="J41" s="593">
        <f t="shared" si="21"/>
        <v>11099.563</v>
      </c>
      <c r="K41" s="593">
        <f t="shared" si="21"/>
        <v>4459</v>
      </c>
      <c r="L41" s="593">
        <f t="shared" si="21"/>
        <v>1604.6210000000001</v>
      </c>
      <c r="M41" s="593">
        <f t="shared" si="21"/>
        <v>3476.931</v>
      </c>
      <c r="N41" s="593">
        <f t="shared" si="21"/>
        <v>0</v>
      </c>
      <c r="O41" s="593">
        <f t="shared" si="21"/>
        <v>2348.913</v>
      </c>
      <c r="P41" s="593">
        <f t="shared" si="21"/>
        <v>3391.8130000000001</v>
      </c>
      <c r="Q41" s="593">
        <f t="shared" si="21"/>
        <v>4068.6</v>
      </c>
      <c r="R41" s="593">
        <f t="shared" si="21"/>
        <v>4542</v>
      </c>
      <c r="S41" s="973"/>
      <c r="T41" s="973"/>
    </row>
    <row r="42" spans="1:20" ht="15" x14ac:dyDescent="0.25">
      <c r="A42" s="730" t="s">
        <v>54</v>
      </c>
      <c r="B42" s="731">
        <v>2350</v>
      </c>
      <c r="C42" s="731">
        <f>D42-B42</f>
        <v>-341</v>
      </c>
      <c r="D42" s="600">
        <v>2009</v>
      </c>
      <c r="E42" s="600">
        <f>G42-D42</f>
        <v>-141</v>
      </c>
      <c r="F42" s="600">
        <v>25</v>
      </c>
      <c r="G42" s="600">
        <v>1868</v>
      </c>
      <c r="H42" s="600">
        <v>2456</v>
      </c>
      <c r="I42" s="600">
        <f>'טבלה מעודכנת '!B42</f>
        <v>2009</v>
      </c>
      <c r="J42" s="600">
        <f>'טבלה מעודכנת '!C42</f>
        <v>3347.819</v>
      </c>
      <c r="K42" s="600">
        <f>'טבלה מעודכנת '!F42</f>
        <v>2009</v>
      </c>
      <c r="L42" s="600">
        <f>'טבלה מעודכנת '!G42</f>
        <v>994.67200000000003</v>
      </c>
      <c r="M42" s="600">
        <f>'טבלה מעודכנת '!H42</f>
        <v>1989.3440000000001</v>
      </c>
      <c r="N42" s="600">
        <f>'טבלה מעודכנת '!I42</f>
        <v>0</v>
      </c>
      <c r="O42" s="600">
        <f>'טבלה מעודכנת '!M42</f>
        <v>1685.7929999999999</v>
      </c>
      <c r="P42" s="600">
        <f>'טבלה מעודכנת '!N42</f>
        <v>2469.21</v>
      </c>
      <c r="Q42" s="600">
        <f>'טבלה מעודכנת '!O42</f>
        <v>2225</v>
      </c>
      <c r="R42" s="600">
        <f>'טבלה מעודכנת '!P42</f>
        <v>300</v>
      </c>
      <c r="S42" s="972"/>
      <c r="T42" s="972"/>
    </row>
    <row r="43" spans="1:20" ht="15" x14ac:dyDescent="0.25">
      <c r="A43" s="732" t="s">
        <v>55</v>
      </c>
      <c r="B43" s="731">
        <v>717</v>
      </c>
      <c r="C43" s="731">
        <f>D43-B43</f>
        <v>-663</v>
      </c>
      <c r="D43" s="602">
        <v>54</v>
      </c>
      <c r="E43" s="602">
        <f>G43-D43</f>
        <v>1643</v>
      </c>
      <c r="F43" s="602">
        <v>26</v>
      </c>
      <c r="G43" s="602">
        <v>1697</v>
      </c>
      <c r="H43" s="602">
        <v>2766</v>
      </c>
      <c r="I43" s="602">
        <f>'טבלה מעודכנת '!B43</f>
        <v>55</v>
      </c>
      <c r="J43" s="602">
        <f>'טבלה מעודכנת '!C43</f>
        <v>1682.164</v>
      </c>
      <c r="K43" s="602">
        <f>'טבלה מעודכנת '!F43</f>
        <v>55</v>
      </c>
      <c r="L43" s="602">
        <f>'טבלה מעודכנת '!G43</f>
        <v>668.09100000000001</v>
      </c>
      <c r="M43" s="602">
        <f>'טבלה מעודכנת '!H43</f>
        <v>1771</v>
      </c>
      <c r="N43" s="602">
        <f>'טבלה מעודכנת '!I43</f>
        <v>962</v>
      </c>
      <c r="O43" s="602">
        <f>'טבלה מעודכנת '!M43</f>
        <v>1109.08</v>
      </c>
      <c r="P43" s="602">
        <f>'טבלה מעודכנת '!N43</f>
        <v>1780.6110000000001</v>
      </c>
      <c r="Q43" s="602">
        <f>'טבלה מעודכנת '!O43</f>
        <v>9</v>
      </c>
      <c r="R43" s="602">
        <f>'טבלה מעודכנת '!P43</f>
        <v>9</v>
      </c>
      <c r="S43" s="975"/>
      <c r="T43" s="975"/>
    </row>
    <row r="44" spans="1:20" s="4" customFormat="1" ht="15" x14ac:dyDescent="0.25">
      <c r="A44" s="733" t="s">
        <v>56</v>
      </c>
      <c r="B44" s="734">
        <f>B32+B35+B38+B41+B42+B43</f>
        <v>94374</v>
      </c>
      <c r="C44" s="734">
        <f>C32+C35+C38+C41+C42+C43</f>
        <v>-33102</v>
      </c>
      <c r="D44" s="601">
        <f>D32+D35+D38+D41+D42+D43</f>
        <v>61272</v>
      </c>
      <c r="E44" s="601">
        <f t="shared" ref="E44:H44" si="22">E32+E35+E38+E41+E42+E43</f>
        <v>7847</v>
      </c>
      <c r="F44" s="601">
        <f t="shared" si="22"/>
        <v>231</v>
      </c>
      <c r="G44" s="601">
        <f t="shared" si="22"/>
        <v>69119</v>
      </c>
      <c r="H44" s="601">
        <f t="shared" si="22"/>
        <v>69909</v>
      </c>
      <c r="I44" s="601">
        <f t="shared" ref="I44:R44" si="23">I32+I35+I38+I41+I42+I43</f>
        <v>61092</v>
      </c>
      <c r="J44" s="601">
        <f t="shared" ca="1" si="23"/>
        <v>69752.61</v>
      </c>
      <c r="K44" s="601">
        <f>K32+K35+K38+K41+K42+K43</f>
        <v>61092</v>
      </c>
      <c r="L44" s="601">
        <f t="shared" ca="1" si="23"/>
        <v>32895.752999999997</v>
      </c>
      <c r="M44" s="601">
        <f t="shared" ca="1" si="23"/>
        <v>76768.424416666661</v>
      </c>
      <c r="N44" s="601" t="e">
        <f t="shared" si="23"/>
        <v>#VALUE!</v>
      </c>
      <c r="O44" s="601">
        <f t="shared" ca="1" si="23"/>
        <v>51344.577929999992</v>
      </c>
      <c r="P44" s="601">
        <f t="shared" ca="1" si="23"/>
        <v>70553.143700000001</v>
      </c>
      <c r="Q44" s="601">
        <f t="shared" ca="1" si="23"/>
        <v>68501.058202514294</v>
      </c>
      <c r="R44" s="601">
        <f t="shared" ca="1" si="23"/>
        <v>58139.696322727425</v>
      </c>
      <c r="S44" s="976"/>
      <c r="T44" s="976"/>
    </row>
    <row r="45" spans="1:20" ht="15" x14ac:dyDescent="0.25">
      <c r="A45" s="730" t="s">
        <v>57</v>
      </c>
      <c r="B45" s="731">
        <v>6500</v>
      </c>
      <c r="C45" s="731">
        <f>D45-B45</f>
        <v>-2230</v>
      </c>
      <c r="D45" s="600">
        <v>4270</v>
      </c>
      <c r="E45" s="600">
        <f>G45-D45</f>
        <v>0</v>
      </c>
      <c r="F45" s="600">
        <v>27</v>
      </c>
      <c r="G45" s="600">
        <v>4270</v>
      </c>
      <c r="H45" s="600">
        <v>4097</v>
      </c>
      <c r="I45" s="600">
        <f>'טבלה מעודכנת '!B45</f>
        <v>4270</v>
      </c>
      <c r="J45" s="600">
        <f>'טבלה מעודכנת '!C45</f>
        <v>3736.6060000000002</v>
      </c>
      <c r="K45" s="600">
        <f>'טבלה מעודכנת '!F45</f>
        <v>4270</v>
      </c>
      <c r="L45" s="600">
        <f>'טבלה מעודכנת '!G45</f>
        <v>1790.769</v>
      </c>
      <c r="M45" s="600">
        <f>'טבלה מעודכנת '!H45</f>
        <v>4570</v>
      </c>
      <c r="N45" s="600">
        <f>'טבלה מעודכנת '!I45</f>
        <v>0</v>
      </c>
      <c r="O45" s="600">
        <f>'טבלה מעודכנת '!M45</f>
        <v>3912.4450000000002</v>
      </c>
      <c r="P45" s="600">
        <f>'טבלה מעודכנת '!N45</f>
        <v>5256.4269999999997</v>
      </c>
      <c r="Q45" s="600">
        <f>'טבלה מעודכנת '!O45</f>
        <v>5284</v>
      </c>
      <c r="R45" s="600">
        <f>'טבלה מעודכנת '!P45</f>
        <v>5284</v>
      </c>
      <c r="S45" s="972"/>
      <c r="T45" s="972"/>
    </row>
    <row r="46" spans="1:20" ht="15" x14ac:dyDescent="0.25">
      <c r="A46" s="732" t="s">
        <v>58</v>
      </c>
      <c r="B46" s="731"/>
      <c r="C46" s="731"/>
      <c r="D46" s="600">
        <v>0</v>
      </c>
      <c r="E46" s="600">
        <f>G46-D46</f>
        <v>0</v>
      </c>
      <c r="F46" s="600">
        <v>28</v>
      </c>
      <c r="G46" s="600"/>
      <c r="H46" s="600">
        <v>10527</v>
      </c>
      <c r="I46" s="600">
        <f>'טבלה מעודכנת '!B46</f>
        <v>0</v>
      </c>
      <c r="J46" s="600">
        <f>'טבלה מעודכנת '!C46</f>
        <v>4598</v>
      </c>
      <c r="K46" s="600">
        <f>'טבלה מעודכנת '!F46</f>
        <v>0</v>
      </c>
      <c r="L46" s="600">
        <f>'טבלה מעודכנת '!G46</f>
        <v>0</v>
      </c>
      <c r="M46" s="600">
        <f>'טבלה מעודכנת '!H46</f>
        <v>0</v>
      </c>
      <c r="N46" s="600">
        <f>'טבלה מעודכנת '!I46</f>
        <v>0</v>
      </c>
      <c r="O46" s="600">
        <f>'טבלה מעודכנת '!M46</f>
        <v>0</v>
      </c>
      <c r="P46" s="600">
        <f>'טבלה מעודכנת '!N46</f>
        <v>0</v>
      </c>
      <c r="Q46" s="600">
        <f>'טבלה מעודכנת '!O46</f>
        <v>0</v>
      </c>
      <c r="R46" s="600">
        <f>'טבלה מעודכנת '!P46</f>
        <v>0</v>
      </c>
      <c r="S46" s="972"/>
      <c r="T46" s="972"/>
    </row>
    <row r="47" spans="1:20" s="4" customFormat="1" ht="15" x14ac:dyDescent="0.25">
      <c r="A47" s="733" t="s">
        <v>59</v>
      </c>
      <c r="B47" s="734">
        <f>SUM(B44:B46)</f>
        <v>100874</v>
      </c>
      <c r="C47" s="734">
        <f>SUM(C44:C46)</f>
        <v>-35332</v>
      </c>
      <c r="D47" s="593">
        <f>SUM(D44:D46)</f>
        <v>65542</v>
      </c>
      <c r="E47" s="593">
        <f t="shared" ref="E47:H47" si="24">SUM(E44:E46)</f>
        <v>7847</v>
      </c>
      <c r="F47" s="593">
        <f t="shared" si="24"/>
        <v>286</v>
      </c>
      <c r="G47" s="593">
        <f t="shared" si="24"/>
        <v>73389</v>
      </c>
      <c r="H47" s="593">
        <f t="shared" si="24"/>
        <v>84533</v>
      </c>
      <c r="I47" s="593">
        <f t="shared" ref="I47:R47" si="25">SUM(I44:I46)</f>
        <v>65362</v>
      </c>
      <c r="J47" s="593">
        <f t="shared" ca="1" si="25"/>
        <v>78087.216</v>
      </c>
      <c r="K47" s="593">
        <f>SUM(K44:K46)</f>
        <v>65362</v>
      </c>
      <c r="L47" s="593">
        <f t="shared" ca="1" si="25"/>
        <v>34686.521999999997</v>
      </c>
      <c r="M47" s="593">
        <f t="shared" ca="1" si="25"/>
        <v>81338.424416666661</v>
      </c>
      <c r="N47" s="593" t="e">
        <f t="shared" si="25"/>
        <v>#VALUE!</v>
      </c>
      <c r="O47" s="593">
        <f t="shared" ca="1" si="25"/>
        <v>55257.022929999992</v>
      </c>
      <c r="P47" s="593">
        <f t="shared" ca="1" si="25"/>
        <v>75809.570699999997</v>
      </c>
      <c r="Q47" s="593">
        <f t="shared" ca="1" si="25"/>
        <v>73785.058202514294</v>
      </c>
      <c r="R47" s="593">
        <f t="shared" ca="1" si="25"/>
        <v>63423.696322727425</v>
      </c>
      <c r="S47" s="973"/>
      <c r="T47" s="973"/>
    </row>
    <row r="48" spans="1:20" ht="15" x14ac:dyDescent="0.25">
      <c r="A48" s="730" t="s">
        <v>60</v>
      </c>
      <c r="B48" s="731"/>
      <c r="C48" s="731"/>
      <c r="D48" s="600">
        <v>0</v>
      </c>
      <c r="E48" s="600">
        <f>G48-D48</f>
        <v>0</v>
      </c>
      <c r="F48" s="600">
        <v>29</v>
      </c>
      <c r="G48" s="600"/>
      <c r="H48" s="600">
        <v>0</v>
      </c>
      <c r="I48" s="600">
        <f>'טבלה מעודכנת '!B48</f>
        <v>0</v>
      </c>
      <c r="J48" s="600">
        <f>'טבלה מעודכנת '!C48</f>
        <v>0</v>
      </c>
      <c r="K48" s="600">
        <f>'טבלה מעודכנת '!F48</f>
        <v>0</v>
      </c>
      <c r="L48" s="600">
        <f>'טבלה מעודכנת '!G48</f>
        <v>0</v>
      </c>
      <c r="M48" s="600">
        <f>'טבלה מעודכנת '!H48</f>
        <v>1618.2</v>
      </c>
      <c r="N48" s="600">
        <f>'טבלה מעודכנת '!I48</f>
        <v>0</v>
      </c>
      <c r="O48" s="600">
        <f>'טבלה מעודכנת '!M48</f>
        <v>0</v>
      </c>
      <c r="P48" s="600">
        <f>'טבלה מעודכנת '!N48</f>
        <v>0</v>
      </c>
      <c r="Q48" s="600">
        <f>'טבלה מעודכנת '!O48</f>
        <v>1861</v>
      </c>
      <c r="R48" s="600">
        <f>'טבלה מעודכנת '!P48</f>
        <v>1861</v>
      </c>
      <c r="S48" s="972"/>
      <c r="T48" s="972"/>
    </row>
    <row r="49" spans="1:20" s="4" customFormat="1" ht="15" x14ac:dyDescent="0.25">
      <c r="A49" s="733" t="s">
        <v>61</v>
      </c>
      <c r="B49" s="734">
        <f>SUM(B47:B48)</f>
        <v>100874</v>
      </c>
      <c r="C49" s="734">
        <f>SUM(C47:C48)</f>
        <v>-35332</v>
      </c>
      <c r="D49" s="593">
        <f>SUM(D47:D48)</f>
        <v>65542</v>
      </c>
      <c r="E49" s="593">
        <f t="shared" ref="E49:H49" si="26">SUM(E47:E48)</f>
        <v>7847</v>
      </c>
      <c r="F49" s="593">
        <f t="shared" si="26"/>
        <v>315</v>
      </c>
      <c r="G49" s="593">
        <f t="shared" si="26"/>
        <v>73389</v>
      </c>
      <c r="H49" s="593">
        <f t="shared" si="26"/>
        <v>84533</v>
      </c>
      <c r="I49" s="593">
        <f t="shared" ref="I49:R49" si="27">SUM(I47:I48)</f>
        <v>65362</v>
      </c>
      <c r="J49" s="593">
        <f t="shared" ca="1" si="27"/>
        <v>78087.216</v>
      </c>
      <c r="K49" s="593">
        <f>SUM(K47:K48)</f>
        <v>65362</v>
      </c>
      <c r="L49" s="593">
        <f t="shared" ca="1" si="27"/>
        <v>34686.521999999997</v>
      </c>
      <c r="M49" s="593">
        <f t="shared" ca="1" si="27"/>
        <v>82956.624416666658</v>
      </c>
      <c r="N49" s="593" t="e">
        <f t="shared" si="27"/>
        <v>#VALUE!</v>
      </c>
      <c r="O49" s="593">
        <f t="shared" ca="1" si="27"/>
        <v>55257.022929999992</v>
      </c>
      <c r="P49" s="593">
        <f t="shared" ca="1" si="27"/>
        <v>75809.570699999997</v>
      </c>
      <c r="Q49" s="593">
        <f t="shared" ca="1" si="27"/>
        <v>75646.058202514294</v>
      </c>
      <c r="R49" s="593">
        <f t="shared" ca="1" si="27"/>
        <v>65284.696322727425</v>
      </c>
      <c r="S49" s="973"/>
      <c r="T49" s="973"/>
    </row>
    <row r="50" spans="1:20" s="381" customFormat="1" ht="15.75" customHeight="1" x14ac:dyDescent="0.3">
      <c r="A50" s="596" t="s">
        <v>62</v>
      </c>
      <c r="B50" s="598">
        <f>B27-B49</f>
        <v>-94374</v>
      </c>
      <c r="C50" s="598">
        <f>C27-C49</f>
        <v>33102</v>
      </c>
      <c r="D50" s="599">
        <f>D27-D49</f>
        <v>-11530</v>
      </c>
      <c r="E50" s="599">
        <f t="shared" ref="E50:H50" si="28">E27-E49</f>
        <v>109</v>
      </c>
      <c r="F50" s="599">
        <f t="shared" si="28"/>
        <v>-195</v>
      </c>
      <c r="G50" s="599">
        <f t="shared" si="28"/>
        <v>-11421</v>
      </c>
      <c r="H50" s="599">
        <f t="shared" si="28"/>
        <v>-11195</v>
      </c>
      <c r="I50" s="599">
        <f t="shared" ref="I50:Q50" si="29">I27-I49</f>
        <v>-11351</v>
      </c>
      <c r="J50" s="599">
        <f t="shared" ca="1" si="29"/>
        <v>-13431.593999999997</v>
      </c>
      <c r="K50" s="599">
        <f>K27-K49</f>
        <v>-11351</v>
      </c>
      <c r="L50" s="599" t="e">
        <f t="shared" ca="1" si="29"/>
        <v>#N/A</v>
      </c>
      <c r="M50" s="599" t="e">
        <f t="shared" ca="1" si="29"/>
        <v>#REF!</v>
      </c>
      <c r="N50" s="599" t="e">
        <f t="shared" si="29"/>
        <v>#REF!</v>
      </c>
      <c r="O50" s="599" t="e">
        <f t="shared" ca="1" si="29"/>
        <v>#REF!</v>
      </c>
      <c r="P50" s="599">
        <f t="shared" ca="1" si="29"/>
        <v>-6905.5463666666765</v>
      </c>
      <c r="Q50" s="599">
        <f t="shared" ca="1" si="29"/>
        <v>-5900.4284525143012</v>
      </c>
      <c r="R50" s="599">
        <v>0</v>
      </c>
      <c r="S50" s="977"/>
      <c r="T50" s="977"/>
    </row>
    <row r="52" spans="1:20" x14ac:dyDescent="0.2">
      <c r="K52" s="3"/>
      <c r="L52" s="3"/>
      <c r="M52" s="3"/>
    </row>
  </sheetData>
  <mergeCells count="4">
    <mergeCell ref="A6:N6"/>
    <mergeCell ref="A28:N28"/>
    <mergeCell ref="A1:R1"/>
    <mergeCell ref="A3:R3"/>
  </mergeCells>
  <phoneticPr fontId="34" type="noConversion"/>
  <pageMargins left="0.19685039370078741" right="0.35433070866141736" top="0.21" bottom="0.59055118110236227" header="0.51181102362204722" footer="0.51181102362204722"/>
  <pageSetup paperSize="9" scale="97" orientation="portrait" r:id="rId1"/>
  <headerFooter alignWithMargins="0">
    <oddFooter>&amp;C&amp;"David,מודגש"&amp;11עמוד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AA41"/>
  <sheetViews>
    <sheetView showGridLines="0" rightToLeft="1" workbookViewId="0">
      <selection activeCell="R33" sqref="R33"/>
    </sheetView>
  </sheetViews>
  <sheetFormatPr defaultRowHeight="12.75" x14ac:dyDescent="0.2"/>
  <cols>
    <col min="1" max="1" width="4.140625" style="386" bestFit="1" customWidth="1"/>
    <col min="2" max="2" width="26.42578125" customWidth="1"/>
    <col min="3" max="4" width="7" hidden="1" customWidth="1"/>
    <col min="5" max="6" width="7" style="387" hidden="1" customWidth="1"/>
    <col min="7" max="8" width="7" hidden="1" customWidth="1"/>
    <col min="9" max="10" width="7" customWidth="1"/>
    <col min="11" max="12" width="7" hidden="1" customWidth="1"/>
    <col min="13" max="14" width="7" customWidth="1"/>
    <col min="15" max="15" width="10.140625" bestFit="1" customWidth="1"/>
    <col min="16" max="17" width="7" customWidth="1"/>
    <col min="18" max="18" width="9.140625" customWidth="1"/>
    <col min="19" max="22" width="7" hidden="1" customWidth="1"/>
    <col min="23" max="23" width="4.85546875" hidden="1" customWidth="1"/>
    <col min="24" max="24" width="1.7109375" hidden="1" customWidth="1"/>
    <col min="25" max="25" width="8.42578125" hidden="1" customWidth="1"/>
  </cols>
  <sheetData>
    <row r="1" spans="1:27" s="623" customFormat="1" ht="25.5" customHeight="1" x14ac:dyDescent="0.35">
      <c r="A1" s="1321" t="s">
        <v>16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  <c r="V1" s="1322"/>
      <c r="W1" s="1322"/>
      <c r="X1" s="1322"/>
      <c r="Y1" s="1323"/>
      <c r="Z1" s="576"/>
      <c r="AA1" s="576"/>
    </row>
    <row r="2" spans="1:27" s="623" customFormat="1" ht="10.5" customHeigh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743"/>
      <c r="Y2" s="743"/>
      <c r="Z2" s="743"/>
      <c r="AA2" s="743"/>
    </row>
    <row r="3" spans="1:27" s="623" customFormat="1" ht="18.75" customHeight="1" x14ac:dyDescent="0.3">
      <c r="A3" s="1352" t="s">
        <v>105</v>
      </c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4"/>
      <c r="Z3" s="619"/>
      <c r="AA3" s="619"/>
    </row>
    <row r="4" spans="1:27" s="620" customFormat="1" ht="15" x14ac:dyDescent="0.25">
      <c r="A4" s="622"/>
      <c r="E4" s="621"/>
      <c r="F4" s="621"/>
    </row>
    <row r="5" spans="1:27" s="383" customFormat="1" ht="12.75" customHeight="1" x14ac:dyDescent="0.25">
      <c r="A5" s="1345" t="s">
        <v>106</v>
      </c>
      <c r="B5" s="1345" t="s">
        <v>107</v>
      </c>
      <c r="C5" s="1331" t="s">
        <v>108</v>
      </c>
      <c r="D5" s="1331"/>
      <c r="E5" s="1348" t="s">
        <v>109</v>
      </c>
      <c r="F5" s="1348"/>
      <c r="G5" s="1331" t="s">
        <v>110</v>
      </c>
      <c r="H5" s="1331"/>
      <c r="I5" s="1331" t="s">
        <v>112</v>
      </c>
      <c r="J5" s="1331"/>
      <c r="K5" s="1331" t="s">
        <v>3138</v>
      </c>
      <c r="L5" s="1331"/>
      <c r="M5" s="1331" t="s">
        <v>3139</v>
      </c>
      <c r="N5" s="1331"/>
      <c r="O5" s="1331" t="s">
        <v>228</v>
      </c>
      <c r="P5" s="1331"/>
      <c r="Q5" s="1331" t="s">
        <v>2052</v>
      </c>
      <c r="R5" s="1331"/>
      <c r="S5" s="1331" t="s">
        <v>228</v>
      </c>
      <c r="T5" s="1331"/>
      <c r="U5" s="1331" t="s">
        <v>113</v>
      </c>
      <c r="V5" s="1331"/>
      <c r="W5" s="1336" t="s">
        <v>114</v>
      </c>
      <c r="X5" s="1337"/>
      <c r="Y5" s="1338"/>
      <c r="Z5" s="620"/>
      <c r="AA5" s="620"/>
    </row>
    <row r="6" spans="1:27" s="383" customFormat="1" ht="15" customHeight="1" x14ac:dyDescent="0.25">
      <c r="A6" s="1346"/>
      <c r="B6" s="1347"/>
      <c r="C6" s="1331"/>
      <c r="D6" s="1331"/>
      <c r="E6" s="1348"/>
      <c r="F6" s="1348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  <c r="T6" s="1331"/>
      <c r="U6" s="1331"/>
      <c r="V6" s="1331"/>
      <c r="W6" s="1339"/>
      <c r="X6" s="1340"/>
      <c r="Y6" s="1341"/>
      <c r="Z6" s="620"/>
      <c r="AA6" s="620"/>
    </row>
    <row r="7" spans="1:27" s="384" customFormat="1" ht="12.75" customHeight="1" x14ac:dyDescent="0.2">
      <c r="A7" s="1331"/>
      <c r="B7" s="1331"/>
      <c r="C7" s="1331" t="s">
        <v>115</v>
      </c>
      <c r="D7" s="1331" t="s">
        <v>116</v>
      </c>
      <c r="E7" s="1348" t="s">
        <v>115</v>
      </c>
      <c r="F7" s="1348" t="s">
        <v>116</v>
      </c>
      <c r="G7" s="1331" t="s">
        <v>115</v>
      </c>
      <c r="H7" s="1331" t="s">
        <v>116</v>
      </c>
      <c r="I7" s="1331" t="s">
        <v>115</v>
      </c>
      <c r="J7" s="1331" t="s">
        <v>116</v>
      </c>
      <c r="K7" s="1331" t="s">
        <v>115</v>
      </c>
      <c r="L7" s="1331" t="s">
        <v>116</v>
      </c>
      <c r="M7" s="1332" t="s">
        <v>115</v>
      </c>
      <c r="N7" s="1332" t="s">
        <v>116</v>
      </c>
      <c r="O7" s="1332" t="s">
        <v>115</v>
      </c>
      <c r="P7" s="1332" t="s">
        <v>116</v>
      </c>
      <c r="Q7" s="1332" t="s">
        <v>115</v>
      </c>
      <c r="R7" s="1332" t="s">
        <v>116</v>
      </c>
      <c r="S7" s="1332" t="s">
        <v>115</v>
      </c>
      <c r="T7" s="1332" t="s">
        <v>116</v>
      </c>
      <c r="U7" s="1332" t="s">
        <v>115</v>
      </c>
      <c r="V7" s="1331" t="s">
        <v>116</v>
      </c>
      <c r="W7" s="1339"/>
      <c r="X7" s="1340"/>
      <c r="Y7" s="1341"/>
      <c r="Z7" s="744"/>
      <c r="AA7" s="744"/>
    </row>
    <row r="8" spans="1:27" s="384" customFormat="1" ht="20.25" customHeight="1" x14ac:dyDescent="0.2">
      <c r="A8" s="1331"/>
      <c r="B8" s="1331"/>
      <c r="C8" s="1331" t="s">
        <v>117</v>
      </c>
      <c r="D8" s="1331" t="s">
        <v>118</v>
      </c>
      <c r="E8" s="1348" t="s">
        <v>117</v>
      </c>
      <c r="F8" s="1348" t="s">
        <v>118</v>
      </c>
      <c r="G8" s="1331" t="s">
        <v>117</v>
      </c>
      <c r="H8" s="1331" t="s">
        <v>118</v>
      </c>
      <c r="I8" s="1331" t="s">
        <v>117</v>
      </c>
      <c r="J8" s="1331" t="s">
        <v>118</v>
      </c>
      <c r="K8" s="1331" t="s">
        <v>117</v>
      </c>
      <c r="L8" s="1331" t="s">
        <v>118</v>
      </c>
      <c r="M8" s="1332" t="s">
        <v>117</v>
      </c>
      <c r="N8" s="1332" t="s">
        <v>118</v>
      </c>
      <c r="O8" s="1332" t="s">
        <v>117</v>
      </c>
      <c r="P8" s="1332" t="s">
        <v>118</v>
      </c>
      <c r="Q8" s="1332" t="s">
        <v>118</v>
      </c>
      <c r="R8" s="1332" t="s">
        <v>118</v>
      </c>
      <c r="S8" s="1332" t="s">
        <v>118</v>
      </c>
      <c r="T8" s="1332" t="s">
        <v>118</v>
      </c>
      <c r="U8" s="1332" t="s">
        <v>117</v>
      </c>
      <c r="V8" s="1331" t="s">
        <v>118</v>
      </c>
      <c r="W8" s="1342"/>
      <c r="X8" s="1343"/>
      <c r="Y8" s="1344"/>
      <c r="Z8" s="744"/>
      <c r="AA8" s="744"/>
    </row>
    <row r="9" spans="1:27" s="383" customFormat="1" ht="13.5" customHeight="1" x14ac:dyDescent="0.25">
      <c r="A9" s="759">
        <v>6</v>
      </c>
      <c r="B9" s="1356" t="s">
        <v>119</v>
      </c>
      <c r="C9" s="1357"/>
      <c r="D9" s="1357"/>
      <c r="E9" s="1357"/>
      <c r="F9" s="1357"/>
      <c r="G9" s="1357"/>
      <c r="H9" s="1357"/>
      <c r="I9" s="1357"/>
      <c r="J9" s="1357"/>
      <c r="K9" s="1357"/>
      <c r="L9" s="1357"/>
      <c r="M9" s="1357"/>
      <c r="N9" s="1357"/>
      <c r="O9" s="1357"/>
      <c r="P9" s="1357"/>
      <c r="Q9" s="1357"/>
      <c r="R9" s="1357"/>
      <c r="S9" s="1357"/>
      <c r="T9" s="1357"/>
      <c r="U9" s="1357"/>
      <c r="V9" s="1357"/>
      <c r="W9" s="1357"/>
      <c r="X9" s="1357"/>
      <c r="Y9" s="1358"/>
    </row>
    <row r="10" spans="1:27" s="382" customFormat="1" ht="15" x14ac:dyDescent="0.2">
      <c r="A10" s="758">
        <v>60</v>
      </c>
      <c r="B10" s="761" t="s">
        <v>120</v>
      </c>
      <c r="C10" s="614">
        <v>1</v>
      </c>
      <c r="D10" s="614">
        <v>762</v>
      </c>
      <c r="E10" s="615">
        <v>3</v>
      </c>
      <c r="F10" s="615">
        <v>1243</v>
      </c>
      <c r="G10" s="614">
        <v>1</v>
      </c>
      <c r="H10" s="614">
        <v>661</v>
      </c>
      <c r="I10" s="614">
        <v>1</v>
      </c>
      <c r="J10" s="614">
        <v>770</v>
      </c>
      <c r="K10" s="1091">
        <v>1</v>
      </c>
      <c r="L10" s="614">
        <v>558</v>
      </c>
      <c r="M10" s="614">
        <v>1</v>
      </c>
      <c r="N10" s="614">
        <v>735</v>
      </c>
      <c r="O10" s="1091">
        <v>1</v>
      </c>
      <c r="P10" s="614">
        <v>743</v>
      </c>
      <c r="Q10" s="940">
        <v>1</v>
      </c>
      <c r="R10" s="614">
        <v>757</v>
      </c>
      <c r="S10" s="614"/>
      <c r="T10" s="614"/>
      <c r="U10" s="614">
        <f>מוניצ!V5</f>
        <v>1</v>
      </c>
      <c r="V10" s="614">
        <f>מוניצ!W5/1000</f>
        <v>770</v>
      </c>
      <c r="W10" s="1355"/>
      <c r="X10" s="1355"/>
      <c r="Y10" s="1355"/>
      <c r="Z10" s="745"/>
      <c r="AA10" s="745"/>
    </row>
    <row r="11" spans="1:27" s="382" customFormat="1" ht="15" x14ac:dyDescent="0.2">
      <c r="A11" s="758">
        <v>61</v>
      </c>
      <c r="B11" s="761" t="s">
        <v>121</v>
      </c>
      <c r="C11" s="614">
        <v>14</v>
      </c>
      <c r="D11" s="614">
        <v>2082</v>
      </c>
      <c r="E11" s="615">
        <v>20</v>
      </c>
      <c r="F11" s="615">
        <v>1923</v>
      </c>
      <c r="G11" s="614">
        <v>8</v>
      </c>
      <c r="H11" s="614">
        <v>1614</v>
      </c>
      <c r="I11" s="614">
        <v>9.8000000000000007</v>
      </c>
      <c r="J11" s="614">
        <v>1680</v>
      </c>
      <c r="K11" s="1091">
        <v>8</v>
      </c>
      <c r="L11" s="614">
        <v>1202</v>
      </c>
      <c r="M11" s="614">
        <v>8</v>
      </c>
      <c r="N11" s="614">
        <v>1543</v>
      </c>
      <c r="O11" s="1091">
        <v>10.199999999999999</v>
      </c>
      <c r="P11" s="614">
        <v>1708</v>
      </c>
      <c r="Q11" s="940">
        <v>10.050000000000001</v>
      </c>
      <c r="R11" s="614">
        <v>1820</v>
      </c>
      <c r="S11" s="940"/>
      <c r="T11" s="614"/>
      <c r="U11" s="614">
        <f>מוניצ!V24</f>
        <v>9.7999999999999989</v>
      </c>
      <c r="V11" s="614">
        <f>(מוניצ!W7+מוניצ!W9+מוניצ!W12+מוניצ!W21+מוניצ!W24)/1000</f>
        <v>1832</v>
      </c>
      <c r="W11" s="1355"/>
      <c r="X11" s="1355"/>
      <c r="Y11" s="1355"/>
      <c r="Z11" s="745"/>
      <c r="AA11" s="745"/>
    </row>
    <row r="12" spans="1:27" s="382" customFormat="1" ht="15" x14ac:dyDescent="0.2">
      <c r="A12" s="758">
        <v>62</v>
      </c>
      <c r="B12" s="761" t="s">
        <v>122</v>
      </c>
      <c r="C12" s="614">
        <v>7</v>
      </c>
      <c r="D12" s="614">
        <v>843</v>
      </c>
      <c r="E12" s="615">
        <v>10</v>
      </c>
      <c r="F12" s="615">
        <v>1019</v>
      </c>
      <c r="G12" s="614">
        <v>4</v>
      </c>
      <c r="H12" s="614">
        <v>807</v>
      </c>
      <c r="I12" s="614">
        <v>6.5</v>
      </c>
      <c r="J12" s="614">
        <v>825</v>
      </c>
      <c r="K12" s="1091">
        <v>4.75</v>
      </c>
      <c r="L12" s="614">
        <v>657</v>
      </c>
      <c r="M12" s="614">
        <v>4.75</v>
      </c>
      <c r="N12" s="614">
        <v>869</v>
      </c>
      <c r="O12" s="1091">
        <v>6</v>
      </c>
      <c r="P12" s="614">
        <v>976</v>
      </c>
      <c r="Q12" s="940">
        <v>6</v>
      </c>
      <c r="R12" s="614">
        <v>1083</v>
      </c>
      <c r="S12" s="934"/>
      <c r="T12" s="614"/>
      <c r="U12" s="614">
        <f>מוניצ!V34</f>
        <v>5</v>
      </c>
      <c r="V12" s="614">
        <f>(מוניצ!W27+מוניצ!W29+מוניצ!W34)/1000</f>
        <v>932</v>
      </c>
      <c r="W12" s="1355"/>
      <c r="X12" s="1355"/>
      <c r="Y12" s="1355"/>
      <c r="Z12" s="745"/>
      <c r="AA12" s="745"/>
    </row>
    <row r="13" spans="1:27" s="382" customFormat="1" ht="15" customHeight="1" x14ac:dyDescent="0.2">
      <c r="A13" s="759">
        <v>7</v>
      </c>
      <c r="B13" s="1356" t="s">
        <v>123</v>
      </c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8"/>
      <c r="Z13" s="745"/>
      <c r="AA13" s="745"/>
    </row>
    <row r="14" spans="1:27" s="382" customFormat="1" ht="15" x14ac:dyDescent="0.2">
      <c r="A14" s="758">
        <v>71</v>
      </c>
      <c r="B14" s="761" t="s">
        <v>124</v>
      </c>
      <c r="C14" s="616">
        <v>4</v>
      </c>
      <c r="D14" s="616">
        <v>426</v>
      </c>
      <c r="E14" s="616">
        <v>9</v>
      </c>
      <c r="F14" s="616">
        <v>837</v>
      </c>
      <c r="G14" s="616">
        <v>2</v>
      </c>
      <c r="H14" s="616">
        <v>413</v>
      </c>
      <c r="I14" s="616">
        <v>4.7</v>
      </c>
      <c r="J14" s="616">
        <v>596</v>
      </c>
      <c r="K14" s="1092">
        <v>3.2</v>
      </c>
      <c r="L14" s="616">
        <v>438</v>
      </c>
      <c r="M14" s="616">
        <v>3.2</v>
      </c>
      <c r="N14" s="616">
        <v>535</v>
      </c>
      <c r="O14" s="1092">
        <f>5.2-1</f>
        <v>4.2</v>
      </c>
      <c r="P14" s="616">
        <v>422</v>
      </c>
      <c r="Q14" s="938">
        <v>4.95</v>
      </c>
      <c r="R14" s="616">
        <v>431</v>
      </c>
      <c r="S14" s="938"/>
      <c r="T14" s="616"/>
      <c r="U14" s="616">
        <f>מוניצ!V45</f>
        <v>0.2</v>
      </c>
      <c r="V14" s="616">
        <f>(מוניצ!W36+מוניצ!W38+מוניצ!W41+מוניצ!W43+מוניצ!W45)/1000</f>
        <v>360</v>
      </c>
      <c r="W14" s="1350"/>
      <c r="X14" s="1350"/>
      <c r="Y14" s="1350"/>
      <c r="Z14" s="745"/>
      <c r="AA14" s="745"/>
    </row>
    <row r="15" spans="1:27" s="382" customFormat="1" ht="15" x14ac:dyDescent="0.25">
      <c r="A15" s="758">
        <v>72</v>
      </c>
      <c r="B15" s="761" t="s">
        <v>125</v>
      </c>
      <c r="C15" s="616"/>
      <c r="D15" s="616"/>
      <c r="E15" s="616">
        <v>1</v>
      </c>
      <c r="F15" s="616">
        <v>104</v>
      </c>
      <c r="G15" s="616"/>
      <c r="H15" s="616">
        <v>1</v>
      </c>
      <c r="I15" s="616">
        <v>1</v>
      </c>
      <c r="J15" s="616">
        <v>0</v>
      </c>
      <c r="K15" s="1092">
        <v>0.75</v>
      </c>
      <c r="L15" s="616">
        <v>49</v>
      </c>
      <c r="M15" s="616">
        <v>0.75</v>
      </c>
      <c r="N15" s="616">
        <v>79</v>
      </c>
      <c r="O15" s="1092">
        <v>1</v>
      </c>
      <c r="P15" s="624">
        <v>110</v>
      </c>
      <c r="Q15" s="941">
        <v>1</v>
      </c>
      <c r="R15" s="624">
        <v>113</v>
      </c>
      <c r="S15" s="935"/>
      <c r="T15" s="624"/>
      <c r="U15" s="616">
        <v>0</v>
      </c>
      <c r="V15" s="616">
        <v>0</v>
      </c>
      <c r="W15" s="1350"/>
      <c r="X15" s="1350"/>
      <c r="Y15" s="1350"/>
      <c r="Z15" s="745"/>
      <c r="AA15" s="745"/>
    </row>
    <row r="16" spans="1:27" s="382" customFormat="1" ht="15" x14ac:dyDescent="0.2">
      <c r="A16" s="758">
        <v>73</v>
      </c>
      <c r="B16" s="761" t="s">
        <v>126</v>
      </c>
      <c r="C16" s="616">
        <v>3</v>
      </c>
      <c r="D16" s="616">
        <v>274</v>
      </c>
      <c r="E16" s="616">
        <v>4</v>
      </c>
      <c r="F16" s="616">
        <v>321</v>
      </c>
      <c r="G16" s="616">
        <v>2</v>
      </c>
      <c r="H16" s="616">
        <v>198</v>
      </c>
      <c r="I16" s="616">
        <v>3</v>
      </c>
      <c r="J16" s="616">
        <v>585</v>
      </c>
      <c r="K16" s="1092">
        <v>2</v>
      </c>
      <c r="L16" s="616">
        <v>435</v>
      </c>
      <c r="M16" s="616">
        <v>2</v>
      </c>
      <c r="N16" s="616">
        <v>570</v>
      </c>
      <c r="O16" s="1092">
        <v>2</v>
      </c>
      <c r="P16" s="616">
        <v>581</v>
      </c>
      <c r="Q16" s="938">
        <v>2</v>
      </c>
      <c r="R16" s="616">
        <v>593</v>
      </c>
      <c r="S16" s="938"/>
      <c r="T16" s="616"/>
      <c r="U16" s="616">
        <f>מוניצ!V51</f>
        <v>3</v>
      </c>
      <c r="V16" s="616">
        <f>(מוניצ!W51)/1000</f>
        <v>583.29999999999995</v>
      </c>
      <c r="W16" s="1350"/>
      <c r="X16" s="1350"/>
      <c r="Y16" s="1350"/>
      <c r="Z16" s="745"/>
      <c r="AA16" s="745"/>
    </row>
    <row r="17" spans="1:25" s="382" customFormat="1" ht="15" x14ac:dyDescent="0.2">
      <c r="A17" s="758">
        <v>74</v>
      </c>
      <c r="B17" s="761" t="s">
        <v>127</v>
      </c>
      <c r="C17" s="616">
        <v>7</v>
      </c>
      <c r="D17" s="616">
        <v>670</v>
      </c>
      <c r="E17" s="616">
        <v>10</v>
      </c>
      <c r="F17" s="616">
        <v>751</v>
      </c>
      <c r="G17" s="616">
        <v>3</v>
      </c>
      <c r="H17" s="616">
        <v>667</v>
      </c>
      <c r="I17" s="616">
        <v>7</v>
      </c>
      <c r="J17" s="616">
        <v>876</v>
      </c>
      <c r="K17" s="1092">
        <v>4</v>
      </c>
      <c r="L17" s="616">
        <v>509</v>
      </c>
      <c r="M17" s="616">
        <v>4</v>
      </c>
      <c r="N17" s="616">
        <v>632</v>
      </c>
      <c r="O17" s="1092">
        <f>6-1</f>
        <v>5</v>
      </c>
      <c r="P17" s="616">
        <v>656</v>
      </c>
      <c r="Q17" s="938">
        <v>6</v>
      </c>
      <c r="R17" s="616">
        <v>670</v>
      </c>
      <c r="S17" s="938"/>
      <c r="T17" s="616"/>
      <c r="U17" s="616">
        <f>מוניצ!V60</f>
        <v>6</v>
      </c>
      <c r="V17" s="616">
        <f>(מוניצ!W60)/1000</f>
        <v>746</v>
      </c>
      <c r="W17" s="1350"/>
      <c r="X17" s="1350"/>
      <c r="Y17" s="1350"/>
    </row>
    <row r="18" spans="1:25" s="384" customFormat="1" ht="17.25" customHeight="1" x14ac:dyDescent="0.2">
      <c r="A18" s="758"/>
      <c r="B18" s="760" t="s">
        <v>128</v>
      </c>
      <c r="C18" s="617">
        <f t="shared" ref="C18:H18" si="0">SUM(C10:C17)</f>
        <v>36</v>
      </c>
      <c r="D18" s="617">
        <f t="shared" si="0"/>
        <v>5057</v>
      </c>
      <c r="E18" s="617">
        <f t="shared" si="0"/>
        <v>57</v>
      </c>
      <c r="F18" s="617">
        <f t="shared" si="0"/>
        <v>6198</v>
      </c>
      <c r="G18" s="617">
        <f t="shared" si="0"/>
        <v>20</v>
      </c>
      <c r="H18" s="617">
        <f t="shared" si="0"/>
        <v>4361</v>
      </c>
      <c r="I18" s="617">
        <f>SUM(I10:I17)</f>
        <v>33</v>
      </c>
      <c r="J18" s="617">
        <f>SUM(J10:J17)</f>
        <v>5332</v>
      </c>
      <c r="K18" s="617">
        <f>SUM(K10:K17)</f>
        <v>23.7</v>
      </c>
      <c r="L18" s="617">
        <f t="shared" ref="L18" si="1">SUM(L10:L17)</f>
        <v>3848</v>
      </c>
      <c r="M18" s="617">
        <f t="shared" ref="M18:V18" si="2">SUM(M10:M17)</f>
        <v>23.7</v>
      </c>
      <c r="N18" s="617">
        <f>SUM(N10:N17)</f>
        <v>4963</v>
      </c>
      <c r="O18" s="617">
        <f>O10+O11+O12+O14+O15+O16+O17</f>
        <v>29.4</v>
      </c>
      <c r="P18" s="617">
        <f>P10+P11+P12+P14+P15+P16+P17</f>
        <v>5196</v>
      </c>
      <c r="Q18" s="939">
        <f t="shared" ref="Q18:R18" si="3">Q10+Q11+Q12+Q14+Q15+Q16+Q17</f>
        <v>31</v>
      </c>
      <c r="R18" s="939">
        <f t="shared" si="3"/>
        <v>5467</v>
      </c>
      <c r="S18" s="939">
        <f>S10+S11+S12+S14+S15+S16+S17</f>
        <v>0</v>
      </c>
      <c r="T18" s="617">
        <f>T10+T11+T12+T14+T15+T16+T17</f>
        <v>0</v>
      </c>
      <c r="U18" s="617">
        <f t="shared" si="2"/>
        <v>25</v>
      </c>
      <c r="V18" s="617">
        <f t="shared" si="2"/>
        <v>5223.3</v>
      </c>
      <c r="W18" s="1351"/>
      <c r="X18" s="1351"/>
      <c r="Y18" s="1351"/>
    </row>
    <row r="19" spans="1:25" s="382" customFormat="1" ht="15" x14ac:dyDescent="0.2">
      <c r="A19" s="759">
        <v>8</v>
      </c>
      <c r="B19" s="1356" t="s">
        <v>129</v>
      </c>
      <c r="C19" s="1357"/>
      <c r="D19" s="1357"/>
      <c r="E19" s="1357"/>
      <c r="F19" s="1357"/>
      <c r="G19" s="1357"/>
      <c r="H19" s="1357"/>
      <c r="I19" s="1357"/>
      <c r="J19" s="1357"/>
      <c r="K19" s="1357"/>
      <c r="L19" s="1357"/>
      <c r="M19" s="1357"/>
      <c r="N19" s="1357"/>
      <c r="O19" s="1357"/>
      <c r="P19" s="1357"/>
      <c r="Q19" s="1357"/>
      <c r="R19" s="1357"/>
      <c r="S19" s="1357"/>
      <c r="T19" s="1357"/>
      <c r="U19" s="1357"/>
      <c r="V19" s="1357"/>
      <c r="W19" s="1357"/>
      <c r="X19" s="1357"/>
      <c r="Y19" s="1358"/>
    </row>
    <row r="20" spans="1:25" s="382" customFormat="1" ht="15" x14ac:dyDescent="0.2">
      <c r="A20" s="758">
        <v>811</v>
      </c>
      <c r="B20" s="761" t="s">
        <v>130</v>
      </c>
      <c r="C20" s="616">
        <v>0</v>
      </c>
      <c r="D20" s="616">
        <v>0</v>
      </c>
      <c r="E20" s="616"/>
      <c r="F20" s="616"/>
      <c r="G20" s="616">
        <v>0</v>
      </c>
      <c r="H20" s="616">
        <v>0</v>
      </c>
      <c r="I20" s="616">
        <v>3</v>
      </c>
      <c r="J20" s="616">
        <v>468</v>
      </c>
      <c r="K20" s="1092">
        <v>2</v>
      </c>
      <c r="L20" s="616">
        <v>453</v>
      </c>
      <c r="M20" s="616">
        <v>2</v>
      </c>
      <c r="N20" s="616">
        <v>520</v>
      </c>
      <c r="O20" s="1092">
        <v>3</v>
      </c>
      <c r="P20" s="616">
        <v>410</v>
      </c>
      <c r="Q20" s="938">
        <v>3</v>
      </c>
      <c r="R20" s="616">
        <v>419</v>
      </c>
      <c r="S20" s="616"/>
      <c r="T20" s="616"/>
      <c r="U20" s="616">
        <v>3</v>
      </c>
      <c r="V20" s="616">
        <f>(חינוך!W7)/1000</f>
        <v>392</v>
      </c>
      <c r="W20" s="1350"/>
      <c r="X20" s="1350"/>
      <c r="Y20" s="1350"/>
    </row>
    <row r="21" spans="1:25" s="382" customFormat="1" ht="15" x14ac:dyDescent="0.2">
      <c r="A21" s="758">
        <v>81</v>
      </c>
      <c r="B21" s="761" t="s">
        <v>131</v>
      </c>
      <c r="C21" s="616">
        <v>40</v>
      </c>
      <c r="D21" s="616">
        <v>8047</v>
      </c>
      <c r="E21" s="616">
        <v>90</v>
      </c>
      <c r="F21" s="616">
        <v>7361</v>
      </c>
      <c r="G21" s="616">
        <v>46</v>
      </c>
      <c r="H21" s="616">
        <v>8011</v>
      </c>
      <c r="I21" s="616">
        <v>99.74</v>
      </c>
      <c r="J21" s="616">
        <v>9896</v>
      </c>
      <c r="K21" s="1092">
        <v>70.540000000000006</v>
      </c>
      <c r="L21" s="616">
        <v>8540</v>
      </c>
      <c r="M21" s="616">
        <v>70.540000000000006</v>
      </c>
      <c r="N21" s="616">
        <v>10707</v>
      </c>
      <c r="O21" s="1092">
        <v>63.8</v>
      </c>
      <c r="P21" s="616">
        <v>10358</v>
      </c>
      <c r="Q21" s="938">
        <v>58.42</v>
      </c>
      <c r="R21" s="616">
        <v>9851</v>
      </c>
      <c r="S21" s="938"/>
      <c r="T21" s="616"/>
      <c r="U21" s="616">
        <f>חינוך!V227-3</f>
        <v>99.741176470588229</v>
      </c>
      <c r="V21" s="616">
        <f>(חינוך!W227-חינוך!W7)/1000</f>
        <v>9304.491</v>
      </c>
      <c r="W21" s="1350"/>
      <c r="X21" s="1350"/>
      <c r="Y21" s="1350"/>
    </row>
    <row r="22" spans="1:25" s="382" customFormat="1" ht="15" x14ac:dyDescent="0.2">
      <c r="A22" s="758">
        <v>82</v>
      </c>
      <c r="B22" s="761" t="s">
        <v>132</v>
      </c>
      <c r="C22" s="616">
        <v>13</v>
      </c>
      <c r="D22" s="616">
        <v>1286</v>
      </c>
      <c r="E22" s="616">
        <v>12</v>
      </c>
      <c r="F22" s="616">
        <v>977</v>
      </c>
      <c r="G22" s="616">
        <v>5</v>
      </c>
      <c r="H22" s="616">
        <v>1175</v>
      </c>
      <c r="I22" s="616">
        <v>9.0500000000000007</v>
      </c>
      <c r="J22" s="616">
        <v>873</v>
      </c>
      <c r="K22" s="1092">
        <v>7.25</v>
      </c>
      <c r="L22" s="616">
        <v>664</v>
      </c>
      <c r="M22" s="616">
        <v>7.25</v>
      </c>
      <c r="N22" s="616">
        <v>884</v>
      </c>
      <c r="O22" s="1092">
        <v>11.25</v>
      </c>
      <c r="P22" s="616">
        <v>984</v>
      </c>
      <c r="Q22" s="938">
        <v>10.25</v>
      </c>
      <c r="R22" s="616">
        <v>1003</v>
      </c>
      <c r="S22" s="938"/>
      <c r="T22" s="616"/>
      <c r="U22" s="616">
        <f>מוניצ!V79</f>
        <v>9.0499999999999989</v>
      </c>
      <c r="V22" s="616">
        <f>(מוניצ!W79+מוניצ!W73+מוניצ!W68+מוניצ!W66+מוניצ!W62)/1000</f>
        <v>900</v>
      </c>
      <c r="W22" s="1350"/>
      <c r="X22" s="1350"/>
      <c r="Y22" s="1350"/>
    </row>
    <row r="23" spans="1:25" s="382" customFormat="1" ht="15" x14ac:dyDescent="0.2">
      <c r="A23" s="758">
        <v>83</v>
      </c>
      <c r="B23" s="761" t="s">
        <v>133</v>
      </c>
      <c r="C23" s="616">
        <v>1</v>
      </c>
      <c r="D23" s="616">
        <v>162</v>
      </c>
      <c r="E23" s="616">
        <v>6</v>
      </c>
      <c r="F23" s="616">
        <v>422</v>
      </c>
      <c r="G23" s="616">
        <v>1</v>
      </c>
      <c r="H23" s="616">
        <v>158</v>
      </c>
      <c r="I23" s="616">
        <v>0.6</v>
      </c>
      <c r="J23" s="616">
        <v>60</v>
      </c>
      <c r="K23" s="1092">
        <v>0.5</v>
      </c>
      <c r="L23" s="616">
        <v>48</v>
      </c>
      <c r="M23" s="616">
        <v>0.5</v>
      </c>
      <c r="N23" s="616">
        <v>63</v>
      </c>
      <c r="O23" s="1092">
        <v>0.5</v>
      </c>
      <c r="P23" s="616">
        <v>64</v>
      </c>
      <c r="Q23" s="938">
        <v>0.5</v>
      </c>
      <c r="R23" s="616">
        <v>65</v>
      </c>
      <c r="S23" s="938"/>
      <c r="T23" s="616"/>
      <c r="U23" s="616">
        <f>מוניצ!V81</f>
        <v>0.6</v>
      </c>
      <c r="V23" s="616">
        <f>(מוניצ!W81)/1000</f>
        <v>60</v>
      </c>
      <c r="W23" s="1350"/>
      <c r="X23" s="1350"/>
      <c r="Y23" s="1350"/>
    </row>
    <row r="24" spans="1:25" s="382" customFormat="1" ht="15" x14ac:dyDescent="0.2">
      <c r="A24" s="758">
        <v>84</v>
      </c>
      <c r="B24" s="761" t="s">
        <v>134</v>
      </c>
      <c r="C24" s="616">
        <v>14</v>
      </c>
      <c r="D24" s="616">
        <v>1873</v>
      </c>
      <c r="E24" s="616">
        <v>19</v>
      </c>
      <c r="F24" s="616">
        <v>1445</v>
      </c>
      <c r="G24" s="616">
        <v>12</v>
      </c>
      <c r="H24" s="616">
        <v>1724</v>
      </c>
      <c r="I24" s="616">
        <v>22.99</v>
      </c>
      <c r="J24" s="616">
        <v>2667</v>
      </c>
      <c r="K24" s="1092">
        <v>15.22</v>
      </c>
      <c r="L24" s="616">
        <v>1801</v>
      </c>
      <c r="M24" s="616">
        <v>15.22</v>
      </c>
      <c r="N24" s="616">
        <v>2449</v>
      </c>
      <c r="O24" s="1092">
        <v>16.27</v>
      </c>
      <c r="P24" s="616">
        <v>2366</v>
      </c>
      <c r="Q24" s="938">
        <v>13.04</v>
      </c>
      <c r="R24" s="616">
        <v>2414</v>
      </c>
      <c r="S24" s="938"/>
      <c r="T24" s="616"/>
      <c r="U24" s="616">
        <v>17.75</v>
      </c>
      <c r="V24" s="616">
        <f>(רווחה!X42)/1000</f>
        <v>2477.8180000000002</v>
      </c>
      <c r="W24" s="1350"/>
      <c r="X24" s="1350"/>
      <c r="Y24" s="1350"/>
    </row>
    <row r="25" spans="1:25" s="382" customFormat="1" ht="15" x14ac:dyDescent="0.25">
      <c r="A25" s="758">
        <v>85</v>
      </c>
      <c r="B25" s="761" t="s">
        <v>135</v>
      </c>
      <c r="C25" s="616"/>
      <c r="D25" s="616"/>
      <c r="E25" s="616"/>
      <c r="F25" s="616"/>
      <c r="G25" s="616"/>
      <c r="H25" s="616"/>
      <c r="I25" s="616">
        <v>0</v>
      </c>
      <c r="J25" s="616">
        <v>0</v>
      </c>
      <c r="K25" s="1092">
        <v>0</v>
      </c>
      <c r="L25" s="616">
        <v>0</v>
      </c>
      <c r="M25" s="616">
        <v>0</v>
      </c>
      <c r="N25" s="616">
        <v>0</v>
      </c>
      <c r="O25" s="616">
        <v>0</v>
      </c>
      <c r="P25" s="624">
        <v>0</v>
      </c>
      <c r="Q25" s="624">
        <v>0</v>
      </c>
      <c r="R25" s="624">
        <v>0</v>
      </c>
      <c r="S25" s="624"/>
      <c r="T25" s="624"/>
      <c r="U25" s="616">
        <v>0</v>
      </c>
      <c r="V25" s="616">
        <v>0</v>
      </c>
      <c r="W25" s="1350"/>
      <c r="X25" s="1350"/>
      <c r="Y25" s="1350"/>
    </row>
    <row r="26" spans="1:25" s="384" customFormat="1" ht="15" x14ac:dyDescent="0.2">
      <c r="A26" s="758"/>
      <c r="B26" s="760" t="s">
        <v>136</v>
      </c>
      <c r="C26" s="617">
        <f>SUM(C21:C25)</f>
        <v>68</v>
      </c>
      <c r="D26" s="617">
        <f>SUM(D21:D25)</f>
        <v>11368</v>
      </c>
      <c r="E26" s="617">
        <f>SUM(E21:E24)</f>
        <v>127</v>
      </c>
      <c r="F26" s="617">
        <f>SUM(F21:F25)</f>
        <v>10205</v>
      </c>
      <c r="G26" s="617">
        <f>SUM(G21:G25)</f>
        <v>64</v>
      </c>
      <c r="H26" s="617">
        <f>SUM(H21:H25)</f>
        <v>11068</v>
      </c>
      <c r="I26" s="617">
        <f>SUM(I20:I24)</f>
        <v>135.38</v>
      </c>
      <c r="J26" s="617">
        <f>SUM(J20:J25)</f>
        <v>13964</v>
      </c>
      <c r="K26" s="617">
        <f>SUM(K20:K25)</f>
        <v>95.51</v>
      </c>
      <c r="L26" s="617">
        <f t="shared" ref="L26" si="4">SUM(L20:L25)</f>
        <v>11506</v>
      </c>
      <c r="M26" s="617">
        <f t="shared" ref="M26" si="5">SUM(M20:M25)</f>
        <v>95.51</v>
      </c>
      <c r="N26" s="617">
        <f>SUM(N20:N25)</f>
        <v>14623</v>
      </c>
      <c r="O26" s="617">
        <f>+O20+O21+O22+O23+O24</f>
        <v>94.82</v>
      </c>
      <c r="P26" s="617">
        <f>+P20+P21+P22+P23+P24</f>
        <v>14182</v>
      </c>
      <c r="Q26" s="939">
        <f t="shared" ref="Q26:R26" si="6">Q20+Q21+Q22+Q23+Q24</f>
        <v>85.210000000000008</v>
      </c>
      <c r="R26" s="617">
        <f t="shared" si="6"/>
        <v>13752</v>
      </c>
      <c r="S26" s="939">
        <f>S20+S21+S22+S23+S24</f>
        <v>0</v>
      </c>
      <c r="T26" s="617">
        <f>T20+T21+T22+T23+T24</f>
        <v>0</v>
      </c>
      <c r="U26" s="617">
        <f t="shared" ref="U26:V26" si="7">SUM(U20:U25)</f>
        <v>130.14117647058822</v>
      </c>
      <c r="V26" s="617">
        <f t="shared" si="7"/>
        <v>13134.309000000001</v>
      </c>
      <c r="W26" s="1351"/>
      <c r="X26" s="1351"/>
      <c r="Y26" s="1351"/>
    </row>
    <row r="27" spans="1:25" s="382" customFormat="1" ht="15" x14ac:dyDescent="0.2">
      <c r="A27" s="759">
        <v>9</v>
      </c>
      <c r="B27" s="1356" t="s">
        <v>137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8"/>
    </row>
    <row r="28" spans="1:25" s="382" customFormat="1" ht="15" x14ac:dyDescent="0.2">
      <c r="A28" s="758">
        <v>91</v>
      </c>
      <c r="B28" s="761" t="s">
        <v>138</v>
      </c>
      <c r="C28" s="616">
        <v>5</v>
      </c>
      <c r="D28" s="616">
        <v>626</v>
      </c>
      <c r="E28" s="616">
        <v>5</v>
      </c>
      <c r="F28" s="616">
        <v>419</v>
      </c>
      <c r="G28" s="616">
        <v>5</v>
      </c>
      <c r="H28" s="616">
        <v>595</v>
      </c>
      <c r="I28" s="616">
        <v>2.6</v>
      </c>
      <c r="J28" s="616">
        <v>152</v>
      </c>
      <c r="K28" s="616">
        <v>2</v>
      </c>
      <c r="L28" s="616">
        <v>305</v>
      </c>
      <c r="M28" s="616">
        <v>2</v>
      </c>
      <c r="N28" s="616">
        <v>394</v>
      </c>
      <c r="O28" s="1092">
        <f>1+1</f>
        <v>2</v>
      </c>
      <c r="P28" s="616">
        <f>120+105</f>
        <v>225</v>
      </c>
      <c r="Q28" s="938">
        <v>0</v>
      </c>
      <c r="R28" s="616">
        <v>0</v>
      </c>
      <c r="S28" s="938"/>
      <c r="T28" s="616"/>
      <c r="U28" s="616">
        <f>מוניצ!V86</f>
        <v>1</v>
      </c>
      <c r="V28" s="616">
        <f>(מוניצ!W86)/1000</f>
        <v>122</v>
      </c>
      <c r="W28" s="1350"/>
      <c r="X28" s="1350"/>
      <c r="Y28" s="1350"/>
    </row>
    <row r="29" spans="1:25" s="382" customFormat="1" ht="15" x14ac:dyDescent="0.25">
      <c r="A29" s="758">
        <v>98</v>
      </c>
      <c r="B29" s="761" t="s">
        <v>139</v>
      </c>
      <c r="C29" s="616"/>
      <c r="D29" s="616"/>
      <c r="E29" s="616">
        <v>17</v>
      </c>
      <c r="F29" s="616">
        <v>1208</v>
      </c>
      <c r="G29" s="616">
        <v>2</v>
      </c>
      <c r="H29" s="616">
        <v>269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1092">
        <v>0</v>
      </c>
      <c r="P29" s="624">
        <v>0</v>
      </c>
      <c r="Q29" s="941">
        <v>0</v>
      </c>
      <c r="R29" s="624">
        <v>0</v>
      </c>
      <c r="S29" s="624"/>
      <c r="T29" s="624"/>
      <c r="U29" s="616">
        <v>0</v>
      </c>
      <c r="V29" s="616">
        <v>0</v>
      </c>
      <c r="W29" s="1350"/>
      <c r="X29" s="1350"/>
      <c r="Y29" s="1350"/>
    </row>
    <row r="30" spans="1:25" s="384" customFormat="1" ht="15" x14ac:dyDescent="0.2">
      <c r="A30" s="761"/>
      <c r="B30" s="760" t="s">
        <v>140</v>
      </c>
      <c r="C30" s="617">
        <f t="shared" ref="C30:I30" si="8">SUM(C28:C29)</f>
        <v>5</v>
      </c>
      <c r="D30" s="617">
        <f t="shared" si="8"/>
        <v>626</v>
      </c>
      <c r="E30" s="617">
        <f t="shared" si="8"/>
        <v>22</v>
      </c>
      <c r="F30" s="617">
        <f t="shared" si="8"/>
        <v>1627</v>
      </c>
      <c r="G30" s="617">
        <f t="shared" si="8"/>
        <v>7</v>
      </c>
      <c r="H30" s="617">
        <f t="shared" si="8"/>
        <v>864</v>
      </c>
      <c r="I30" s="617">
        <f t="shared" si="8"/>
        <v>2.6</v>
      </c>
      <c r="J30" s="617">
        <f>SUM(J28:J29)</f>
        <v>152</v>
      </c>
      <c r="K30" s="617">
        <f t="shared" ref="K30:L30" si="9">SUM(K28:K29)</f>
        <v>2</v>
      </c>
      <c r="L30" s="617">
        <f t="shared" si="9"/>
        <v>305</v>
      </c>
      <c r="M30" s="617">
        <f t="shared" ref="M30:P30" si="10">SUM(M28:M29)</f>
        <v>2</v>
      </c>
      <c r="N30" s="617">
        <f t="shared" si="10"/>
        <v>394</v>
      </c>
      <c r="O30" s="617">
        <f t="shared" si="10"/>
        <v>2</v>
      </c>
      <c r="P30" s="617">
        <f t="shared" si="10"/>
        <v>225</v>
      </c>
      <c r="Q30" s="939">
        <f t="shared" ref="Q30:T30" si="11">SUM(Q28:Q29)</f>
        <v>0</v>
      </c>
      <c r="R30" s="617">
        <f t="shared" si="11"/>
        <v>0</v>
      </c>
      <c r="S30" s="617">
        <f t="shared" si="11"/>
        <v>0</v>
      </c>
      <c r="T30" s="617">
        <f t="shared" si="11"/>
        <v>0</v>
      </c>
      <c r="U30" s="617">
        <f t="shared" ref="U30" si="12">SUM(U28:U29)</f>
        <v>1</v>
      </c>
      <c r="V30" s="617">
        <f t="shared" ref="V30" si="13">SUM(V28:V29)</f>
        <v>122</v>
      </c>
      <c r="W30" s="1351"/>
      <c r="X30" s="1351"/>
      <c r="Y30" s="1351"/>
    </row>
    <row r="31" spans="1:25" s="384" customFormat="1" ht="15" x14ac:dyDescent="0.2">
      <c r="A31" s="761"/>
      <c r="B31" s="760" t="s">
        <v>141</v>
      </c>
      <c r="C31" s="617">
        <f t="shared" ref="C31:I31" si="14">C30+C26+C18</f>
        <v>109</v>
      </c>
      <c r="D31" s="617">
        <f t="shared" si="14"/>
        <v>17051</v>
      </c>
      <c r="E31" s="617">
        <f t="shared" si="14"/>
        <v>206</v>
      </c>
      <c r="F31" s="617">
        <f t="shared" si="14"/>
        <v>18030</v>
      </c>
      <c r="G31" s="617">
        <f t="shared" si="14"/>
        <v>91</v>
      </c>
      <c r="H31" s="617">
        <f t="shared" si="14"/>
        <v>16293</v>
      </c>
      <c r="I31" s="617">
        <f t="shared" si="14"/>
        <v>170.98</v>
      </c>
      <c r="J31" s="617">
        <f>J18+J26+J30</f>
        <v>19448</v>
      </c>
      <c r="K31" s="617">
        <f t="shared" ref="K31:L31" si="15">K18+K26+K30</f>
        <v>121.21000000000001</v>
      </c>
      <c r="L31" s="617">
        <f t="shared" si="15"/>
        <v>15659</v>
      </c>
      <c r="M31" s="617">
        <f>M18+M26+M30</f>
        <v>121.21000000000001</v>
      </c>
      <c r="N31" s="617">
        <f t="shared" ref="N31" si="16">N18+N26+N30</f>
        <v>19980</v>
      </c>
      <c r="O31" s="1093">
        <f>O18+O26+O30</f>
        <v>126.22</v>
      </c>
      <c r="P31" s="617">
        <f>P18+P26+P30</f>
        <v>19603</v>
      </c>
      <c r="Q31" s="939">
        <f t="shared" ref="Q31:T31" si="17">Q18+Q26+Q30</f>
        <v>116.21000000000001</v>
      </c>
      <c r="R31" s="617">
        <f t="shared" si="17"/>
        <v>19219</v>
      </c>
      <c r="S31" s="936">
        <f t="shared" si="17"/>
        <v>0</v>
      </c>
      <c r="T31" s="617">
        <f t="shared" si="17"/>
        <v>0</v>
      </c>
      <c r="U31" s="617">
        <f t="shared" ref="U31" si="18">U18+U26+U30</f>
        <v>156.14117647058822</v>
      </c>
      <c r="V31" s="617">
        <f t="shared" ref="V31" si="19">V18+V26+V30</f>
        <v>18479.609</v>
      </c>
      <c r="W31" s="1351"/>
      <c r="X31" s="1351"/>
      <c r="Y31" s="1351"/>
    </row>
    <row r="32" spans="1:25" s="384" customFormat="1" ht="15" x14ac:dyDescent="0.2">
      <c r="A32" s="760"/>
      <c r="B32" s="760" t="s">
        <v>142</v>
      </c>
      <c r="C32" s="617">
        <v>25</v>
      </c>
      <c r="D32" s="617">
        <v>3714</v>
      </c>
      <c r="E32" s="617">
        <v>35</v>
      </c>
      <c r="F32" s="617">
        <v>3969</v>
      </c>
      <c r="G32" s="617">
        <v>21</v>
      </c>
      <c r="H32" s="617">
        <v>2833</v>
      </c>
      <c r="I32" s="617">
        <v>28.09</v>
      </c>
      <c r="J32" s="617">
        <v>3963</v>
      </c>
      <c r="K32" s="1093">
        <v>24.37</v>
      </c>
      <c r="L32" s="617">
        <v>2205</v>
      </c>
      <c r="M32" s="617">
        <v>24.37</v>
      </c>
      <c r="N32" s="617">
        <v>3135</v>
      </c>
      <c r="O32" s="1093">
        <v>27.81</v>
      </c>
      <c r="P32" s="617">
        <v>3511</v>
      </c>
      <c r="Q32" s="939">
        <v>25.38</v>
      </c>
      <c r="R32" s="617">
        <v>3581</v>
      </c>
      <c r="S32" s="939"/>
      <c r="T32" s="617"/>
      <c r="U32" s="617">
        <f>מוניצ!V170</f>
        <v>0</v>
      </c>
      <c r="V32" s="617">
        <f>מוניצ!W157/1000</f>
        <v>3810</v>
      </c>
      <c r="W32" s="1351"/>
      <c r="X32" s="1351"/>
      <c r="Y32" s="1351"/>
    </row>
    <row r="33" spans="1:25" s="384" customFormat="1" ht="15" x14ac:dyDescent="0.2">
      <c r="A33" s="876"/>
      <c r="B33" s="876" t="s">
        <v>1778</v>
      </c>
      <c r="C33" s="617"/>
      <c r="D33" s="617"/>
      <c r="E33" s="617"/>
      <c r="F33" s="617"/>
      <c r="G33" s="617"/>
      <c r="H33" s="617"/>
      <c r="I33" s="617"/>
      <c r="J33" s="617">
        <v>1656</v>
      </c>
      <c r="K33" s="617"/>
      <c r="L33" s="617"/>
      <c r="M33" s="617"/>
      <c r="N33" s="617"/>
      <c r="O33" s="617"/>
      <c r="P33" s="617">
        <v>500</v>
      </c>
      <c r="Q33" s="939">
        <v>0</v>
      </c>
      <c r="R33" s="617">
        <v>0</v>
      </c>
      <c r="S33" s="617">
        <v>0</v>
      </c>
      <c r="T33" s="617"/>
      <c r="U33" s="617"/>
      <c r="V33" s="617"/>
      <c r="W33" s="1333"/>
      <c r="X33" s="1334"/>
      <c r="Y33" s="1335"/>
    </row>
    <row r="34" spans="1:25" s="385" customFormat="1" ht="15.75" x14ac:dyDescent="0.25">
      <c r="A34" s="1349" t="s">
        <v>143</v>
      </c>
      <c r="B34" s="1349"/>
      <c r="C34" s="618">
        <f t="shared" ref="C34:H34" si="20">C32+C31</f>
        <v>134</v>
      </c>
      <c r="D34" s="617">
        <f t="shared" si="20"/>
        <v>20765</v>
      </c>
      <c r="E34" s="617">
        <f t="shared" si="20"/>
        <v>241</v>
      </c>
      <c r="F34" s="617">
        <f t="shared" si="20"/>
        <v>21999</v>
      </c>
      <c r="G34" s="617">
        <f t="shared" si="20"/>
        <v>112</v>
      </c>
      <c r="H34" s="617">
        <f t="shared" si="20"/>
        <v>19126</v>
      </c>
      <c r="I34" s="617">
        <f>I32+I31</f>
        <v>199.07</v>
      </c>
      <c r="J34" s="617">
        <f>J32+J31+J33</f>
        <v>25067</v>
      </c>
      <c r="K34" s="617">
        <f t="shared" ref="K34" si="21">K32+K31</f>
        <v>145.58000000000001</v>
      </c>
      <c r="L34" s="617">
        <f>L32+L31</f>
        <v>17864</v>
      </c>
      <c r="M34" s="617">
        <f>M32+M31</f>
        <v>145.58000000000001</v>
      </c>
      <c r="N34" s="617">
        <f>N32+N31</f>
        <v>23115</v>
      </c>
      <c r="O34" s="1093">
        <f>O31+O32</f>
        <v>154.03</v>
      </c>
      <c r="P34" s="617">
        <f>P31+P32+P33</f>
        <v>23614</v>
      </c>
      <c r="Q34" s="939">
        <f>Q31+Q32+Q33</f>
        <v>141.59</v>
      </c>
      <c r="R34" s="617">
        <f>R31+R32+R33</f>
        <v>22800</v>
      </c>
      <c r="S34" s="939">
        <f>S31+S32+S33</f>
        <v>0</v>
      </c>
      <c r="T34" s="617">
        <f>T31+T32+T33</f>
        <v>0</v>
      </c>
      <c r="U34" s="617">
        <f>U32+U31</f>
        <v>156.14117647058822</v>
      </c>
      <c r="V34" s="617">
        <f>V32+V31</f>
        <v>22289.609</v>
      </c>
      <c r="W34" s="1350"/>
      <c r="X34" s="1350"/>
      <c r="Y34" s="1350"/>
    </row>
    <row r="35" spans="1:25" x14ac:dyDescent="0.2">
      <c r="B35" s="196"/>
      <c r="C35" s="196"/>
      <c r="D35" s="196"/>
      <c r="E35" s="878"/>
      <c r="F35" s="878"/>
      <c r="G35" s="196"/>
      <c r="H35" s="196"/>
      <c r="I35" s="196"/>
      <c r="J35" s="196"/>
      <c r="K35" s="196"/>
      <c r="L35" s="881"/>
      <c r="M35" s="881"/>
      <c r="N35" s="881"/>
      <c r="O35" s="881"/>
      <c r="P35" s="881"/>
      <c r="Q35" s="881"/>
      <c r="R35" s="881"/>
      <c r="S35" s="881"/>
      <c r="T35" s="881"/>
      <c r="U35" s="881"/>
      <c r="V35" s="881"/>
      <c r="W35" s="881"/>
      <c r="X35" s="196"/>
      <c r="Y35" s="196"/>
    </row>
    <row r="36" spans="1:25" x14ac:dyDescent="0.2">
      <c r="B36" s="196"/>
      <c r="C36" s="196"/>
      <c r="D36" s="196"/>
      <c r="E36" s="878"/>
      <c r="F36" s="878"/>
      <c r="G36" s="196"/>
      <c r="H36" s="196"/>
      <c r="I36" s="196"/>
      <c r="J36" s="196"/>
      <c r="K36" s="196"/>
      <c r="L36" s="881"/>
      <c r="M36" s="881"/>
      <c r="N36" s="882">
        <f>'טבלה מעודכנת '!B29+'טבלה מעודכנת '!B33+'טבלה מעודכנת '!B36</f>
        <v>20815</v>
      </c>
      <c r="O36" s="881"/>
      <c r="P36" s="882">
        <f>'טבלה מעודכנת '!F29+'טבלה מעודכנת '!F33+'טבלה מעודכנת '!F36</f>
        <v>20815</v>
      </c>
      <c r="Q36" s="882"/>
      <c r="R36" s="882"/>
      <c r="S36" s="882"/>
      <c r="T36" s="882"/>
      <c r="U36" s="881"/>
      <c r="V36" s="882" t="e">
        <f>'טבלה מעודכנת '!I29+'טבלה מעודכנת '!I33+'טבלה מעודכנת '!I36</f>
        <v>#VALUE!</v>
      </c>
      <c r="W36" s="881"/>
      <c r="X36" s="196"/>
      <c r="Y36" s="196"/>
    </row>
    <row r="37" spans="1:25" x14ac:dyDescent="0.2">
      <c r="B37" s="196"/>
      <c r="C37" s="196"/>
      <c r="D37" s="196"/>
      <c r="E37" s="878"/>
      <c r="F37" s="878"/>
      <c r="G37" s="196"/>
      <c r="H37" s="196"/>
      <c r="I37" s="196"/>
      <c r="J37" s="196"/>
      <c r="K37" s="196"/>
      <c r="L37" s="881"/>
      <c r="M37" s="881"/>
      <c r="N37" s="883">
        <f>(מוניצ!I158+חינוך!I226+רווחה!J42)/1000</f>
        <v>12460.082</v>
      </c>
      <c r="O37" s="884"/>
      <c r="P37" s="883">
        <f>(מוניצ!K158+חינוך!K226+רווחה!L42+מוניצ!K170)/1000</f>
        <v>14523.772416666667</v>
      </c>
      <c r="Q37" s="883"/>
      <c r="R37" s="883"/>
      <c r="S37" s="883"/>
      <c r="T37" s="883"/>
      <c r="U37" s="884"/>
      <c r="V37" s="883">
        <f>(מוניצ!W158+חינוך!W225+רווחה!X42)/1000</f>
        <v>12668.118</v>
      </c>
      <c r="W37" s="881"/>
      <c r="X37" s="196"/>
      <c r="Y37" s="196"/>
    </row>
    <row r="38" spans="1:25" x14ac:dyDescent="0.2">
      <c r="B38" s="196"/>
      <c r="C38" s="196"/>
      <c r="D38" s="196"/>
      <c r="E38" s="878"/>
      <c r="F38" s="878"/>
      <c r="G38" s="196"/>
      <c r="H38" s="196"/>
      <c r="I38" s="196"/>
      <c r="J38" s="196"/>
      <c r="K38" s="196"/>
      <c r="L38" s="881"/>
      <c r="M38" s="881"/>
      <c r="N38" s="882">
        <f>N34-N36+N36-N37</f>
        <v>10654.918</v>
      </c>
      <c r="O38" s="881"/>
      <c r="P38" s="882">
        <f>P34-P36+P36-P37</f>
        <v>9090.2275833333333</v>
      </c>
      <c r="Q38" s="882"/>
      <c r="R38" s="882"/>
      <c r="S38" s="882"/>
      <c r="T38" s="882"/>
      <c r="U38" s="881"/>
      <c r="V38" s="882" t="e">
        <f>V34-V36+V36-V37</f>
        <v>#VALUE!</v>
      </c>
      <c r="W38" s="881"/>
      <c r="X38" s="196"/>
      <c r="Y38" s="196"/>
    </row>
    <row r="39" spans="1:25" x14ac:dyDescent="0.2">
      <c r="B39" s="196"/>
      <c r="C39" s="196"/>
      <c r="D39" s="196"/>
      <c r="E39" s="878"/>
      <c r="F39" s="878"/>
      <c r="G39" s="196"/>
      <c r="H39" s="196"/>
      <c r="I39" s="196"/>
      <c r="J39" s="196"/>
      <c r="K39" s="196"/>
      <c r="L39" s="881"/>
      <c r="M39" s="881"/>
      <c r="N39" s="881"/>
      <c r="O39" s="881"/>
      <c r="P39" s="881"/>
      <c r="Q39" s="881"/>
      <c r="R39" s="881"/>
      <c r="S39" s="881"/>
      <c r="T39" s="881"/>
      <c r="U39" s="881"/>
      <c r="V39" s="881"/>
      <c r="W39" s="881"/>
      <c r="X39" s="196"/>
      <c r="Y39" s="196"/>
    </row>
    <row r="40" spans="1:25" x14ac:dyDescent="0.2">
      <c r="B40" s="196"/>
      <c r="C40" s="196"/>
      <c r="D40" s="196"/>
      <c r="E40" s="878"/>
      <c r="F40" s="878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</row>
    <row r="41" spans="1:25" x14ac:dyDescent="0.2">
      <c r="B41" s="196"/>
      <c r="C41" s="196"/>
      <c r="D41" s="196"/>
      <c r="E41" s="878"/>
      <c r="F41" s="878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</row>
  </sheetData>
  <mergeCells count="64">
    <mergeCell ref="W34:Y34"/>
    <mergeCell ref="B9:Y9"/>
    <mergeCell ref="B13:Y13"/>
    <mergeCell ref="B19:Y19"/>
    <mergeCell ref="B27:Y27"/>
    <mergeCell ref="W28:Y28"/>
    <mergeCell ref="W29:Y29"/>
    <mergeCell ref="W30:Y30"/>
    <mergeCell ref="W31:Y31"/>
    <mergeCell ref="W32:Y32"/>
    <mergeCell ref="W22:Y22"/>
    <mergeCell ref="W23:Y23"/>
    <mergeCell ref="W24:Y24"/>
    <mergeCell ref="W25:Y25"/>
    <mergeCell ref="W26:Y26"/>
    <mergeCell ref="W16:Y16"/>
    <mergeCell ref="W17:Y17"/>
    <mergeCell ref="W18:Y18"/>
    <mergeCell ref="W20:Y20"/>
    <mergeCell ref="W21:Y21"/>
    <mergeCell ref="A1:Y1"/>
    <mergeCell ref="A3:Y3"/>
    <mergeCell ref="M7:M8"/>
    <mergeCell ref="N7:N8"/>
    <mergeCell ref="O5:P6"/>
    <mergeCell ref="O7:O8"/>
    <mergeCell ref="P7:P8"/>
    <mergeCell ref="W10:Y10"/>
    <mergeCell ref="W11:Y11"/>
    <mergeCell ref="W12:Y12"/>
    <mergeCell ref="W14:Y14"/>
    <mergeCell ref="W15:Y15"/>
    <mergeCell ref="I7:I8"/>
    <mergeCell ref="J7:J8"/>
    <mergeCell ref="A34:B34"/>
    <mergeCell ref="E7:E8"/>
    <mergeCell ref="F7:F8"/>
    <mergeCell ref="G7:G8"/>
    <mergeCell ref="A7:A8"/>
    <mergeCell ref="B7:B8"/>
    <mergeCell ref="C7:C8"/>
    <mergeCell ref="D7:D8"/>
    <mergeCell ref="W33:Y33"/>
    <mergeCell ref="W5:Y8"/>
    <mergeCell ref="H7:H8"/>
    <mergeCell ref="A5:A6"/>
    <mergeCell ref="B5:B6"/>
    <mergeCell ref="U5:V6"/>
    <mergeCell ref="U7:U8"/>
    <mergeCell ref="V7:V8"/>
    <mergeCell ref="I5:J6"/>
    <mergeCell ref="C5:D6"/>
    <mergeCell ref="E5:F6"/>
    <mergeCell ref="G5:H6"/>
    <mergeCell ref="M5:N6"/>
    <mergeCell ref="K5:L6"/>
    <mergeCell ref="K7:K8"/>
    <mergeCell ref="L7:L8"/>
    <mergeCell ref="Q5:R6"/>
    <mergeCell ref="S5:T6"/>
    <mergeCell ref="Q7:Q8"/>
    <mergeCell ref="R7:R8"/>
    <mergeCell ref="S7:S8"/>
    <mergeCell ref="T7:T8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scale="85" orientation="portrait" r:id="rId1"/>
  <headerFooter alignWithMargins="0">
    <oddFooter>&amp;C&amp;"David,מודגש"&amp;11עמוד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rightToLeft="1" view="pageLayout" workbookViewId="0">
      <selection activeCell="E12" sqref="E12"/>
    </sheetView>
  </sheetViews>
  <sheetFormatPr defaultColWidth="9.140625" defaultRowHeight="12.75" x14ac:dyDescent="0.2"/>
  <cols>
    <col min="1" max="1" width="20.7109375" style="12" customWidth="1"/>
    <col min="2" max="10" width="11.7109375" style="12" customWidth="1"/>
    <col min="11" max="16384" width="9.140625" style="12"/>
  </cols>
  <sheetData>
    <row r="1" spans="1:10" s="382" customFormat="1" ht="23.25" x14ac:dyDescent="0.35">
      <c r="A1" s="1311" t="s">
        <v>16</v>
      </c>
      <c r="B1" s="1312"/>
      <c r="C1" s="1312"/>
      <c r="D1" s="1312"/>
      <c r="E1" s="1312"/>
      <c r="F1" s="1312"/>
      <c r="G1" s="1312"/>
      <c r="H1" s="1312"/>
      <c r="I1" s="1312"/>
      <c r="J1" s="1313"/>
    </row>
    <row r="2" spans="1:10" s="382" customFormat="1" ht="12" customHeigh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s="382" customFormat="1" ht="20.25" customHeight="1" x14ac:dyDescent="0.3">
      <c r="A3" s="1352" t="s">
        <v>144</v>
      </c>
      <c r="B3" s="1353"/>
      <c r="C3" s="1353"/>
      <c r="D3" s="1353"/>
      <c r="E3" s="1353"/>
      <c r="F3" s="1353"/>
      <c r="G3" s="1353"/>
      <c r="H3" s="1353"/>
      <c r="I3" s="1353"/>
      <c r="J3" s="1354"/>
    </row>
    <row r="4" spans="1:10" s="382" customFormat="1" ht="20.25" customHeight="1" x14ac:dyDescent="0.3">
      <c r="A4" s="765"/>
      <c r="B4" s="765"/>
      <c r="C4" s="765"/>
      <c r="D4" s="765"/>
      <c r="E4" s="765"/>
      <c r="F4" s="765"/>
      <c r="G4" s="765"/>
      <c r="H4" s="765"/>
      <c r="I4" s="765"/>
      <c r="J4" s="765"/>
    </row>
    <row r="5" spans="1:10" s="239" customFormat="1" ht="15.75" x14ac:dyDescent="0.25">
      <c r="A5" s="719"/>
      <c r="B5" s="1359" t="s">
        <v>2077</v>
      </c>
      <c r="C5" s="1359"/>
      <c r="D5" s="1359"/>
      <c r="E5" s="1359" t="s">
        <v>2078</v>
      </c>
      <c r="F5" s="1359"/>
      <c r="G5" s="1359"/>
      <c r="H5" s="1359" t="s">
        <v>3187</v>
      </c>
      <c r="I5" s="1359"/>
      <c r="J5" s="1359"/>
    </row>
    <row r="6" spans="1:10" s="57" customFormat="1" ht="31.5" x14ac:dyDescent="0.2">
      <c r="A6" s="762"/>
      <c r="B6" s="762" t="s">
        <v>145</v>
      </c>
      <c r="C6" s="762" t="s">
        <v>146</v>
      </c>
      <c r="D6" s="762" t="s">
        <v>147</v>
      </c>
      <c r="E6" s="762" t="s">
        <v>145</v>
      </c>
      <c r="F6" s="762" t="s">
        <v>146</v>
      </c>
      <c r="G6" s="762" t="s">
        <v>147</v>
      </c>
      <c r="H6" s="762" t="s">
        <v>145</v>
      </c>
      <c r="I6" s="762" t="s">
        <v>146</v>
      </c>
      <c r="J6" s="762" t="s">
        <v>147</v>
      </c>
    </row>
    <row r="7" spans="1:10" s="81" customFormat="1" ht="15.75" x14ac:dyDescent="0.25">
      <c r="A7" s="720" t="s">
        <v>3211</v>
      </c>
      <c r="B7" s="721">
        <v>2</v>
      </c>
      <c r="C7" s="721">
        <v>340500</v>
      </c>
      <c r="D7" s="721"/>
      <c r="E7" s="721">
        <v>2</v>
      </c>
      <c r="F7" s="721">
        <v>322900</v>
      </c>
      <c r="G7" s="721"/>
      <c r="H7" s="721">
        <v>2</v>
      </c>
      <c r="I7" s="721">
        <v>364800</v>
      </c>
      <c r="J7" s="721"/>
    </row>
    <row r="8" spans="1:10" s="81" customFormat="1" ht="15.75" x14ac:dyDescent="0.25">
      <c r="A8" s="720" t="s">
        <v>3212</v>
      </c>
      <c r="B8" s="721">
        <v>1</v>
      </c>
      <c r="C8" s="721">
        <v>409558</v>
      </c>
      <c r="D8" s="721"/>
      <c r="E8" s="721">
        <v>1</v>
      </c>
      <c r="F8" s="721">
        <v>389558</v>
      </c>
      <c r="G8" s="721"/>
      <c r="H8" s="721">
        <v>1</v>
      </c>
      <c r="I8" s="721">
        <v>409558</v>
      </c>
      <c r="J8" s="721"/>
    </row>
    <row r="9" spans="1:10" s="81" customFormat="1" ht="15.75" x14ac:dyDescent="0.25">
      <c r="A9" s="720" t="s">
        <v>980</v>
      </c>
      <c r="B9" s="721">
        <v>4</v>
      </c>
      <c r="C9" s="721">
        <v>641100</v>
      </c>
      <c r="D9" s="721"/>
      <c r="E9" s="721">
        <v>4</v>
      </c>
      <c r="F9" s="721">
        <f>547315+40950+40950</f>
        <v>629215</v>
      </c>
      <c r="G9" s="721"/>
      <c r="H9" s="721">
        <v>4</v>
      </c>
      <c r="I9" s="721">
        <v>413400</v>
      </c>
      <c r="J9" s="721"/>
    </row>
    <row r="10" spans="1:10" s="81" customFormat="1" ht="15.75" x14ac:dyDescent="0.25">
      <c r="A10" s="720"/>
      <c r="B10" s="721"/>
      <c r="C10" s="721"/>
      <c r="D10" s="721"/>
      <c r="E10" s="721"/>
      <c r="F10" s="721"/>
      <c r="G10" s="721"/>
      <c r="H10" s="721"/>
      <c r="I10" s="721"/>
      <c r="J10" s="721"/>
    </row>
    <row r="11" spans="1:10" s="81" customFormat="1" ht="15.75" x14ac:dyDescent="0.25">
      <c r="A11" s="720"/>
      <c r="B11" s="721"/>
      <c r="C11" s="721"/>
      <c r="D11" s="721"/>
      <c r="E11" s="721"/>
      <c r="F11" s="721"/>
      <c r="G11" s="721"/>
      <c r="H11" s="721"/>
      <c r="I11" s="721"/>
      <c r="J11" s="721"/>
    </row>
    <row r="12" spans="1:10" s="81" customFormat="1" ht="15.75" x14ac:dyDescent="0.25">
      <c r="A12" s="720"/>
      <c r="B12" s="721"/>
      <c r="C12" s="721"/>
      <c r="D12" s="721"/>
      <c r="E12" s="721"/>
      <c r="F12" s="721"/>
      <c r="G12" s="721"/>
      <c r="H12" s="721"/>
      <c r="I12" s="721"/>
      <c r="J12" s="721"/>
    </row>
    <row r="13" spans="1:10" s="81" customFormat="1" ht="15.75" x14ac:dyDescent="0.25">
      <c r="A13" s="720"/>
      <c r="B13" s="721"/>
      <c r="C13" s="721"/>
      <c r="D13" s="721"/>
      <c r="E13" s="721"/>
      <c r="F13" s="721"/>
      <c r="G13" s="721"/>
      <c r="H13" s="721"/>
      <c r="I13" s="721"/>
      <c r="J13" s="721"/>
    </row>
    <row r="14" spans="1:10" s="81" customFormat="1" ht="15.75" x14ac:dyDescent="0.25">
      <c r="A14" s="720"/>
      <c r="B14" s="721"/>
      <c r="C14" s="721"/>
      <c r="D14" s="721"/>
      <c r="E14" s="721"/>
      <c r="F14" s="721"/>
      <c r="G14" s="721"/>
      <c r="H14" s="721"/>
      <c r="I14" s="721"/>
      <c r="J14" s="721"/>
    </row>
    <row r="15" spans="1:10" s="81" customFormat="1" ht="15.75" x14ac:dyDescent="0.25">
      <c r="A15" s="720"/>
      <c r="B15" s="721"/>
      <c r="C15" s="721"/>
      <c r="D15" s="721"/>
      <c r="E15" s="721"/>
      <c r="F15" s="721"/>
      <c r="G15" s="721"/>
      <c r="H15" s="721"/>
      <c r="I15" s="721"/>
      <c r="J15" s="721"/>
    </row>
    <row r="16" spans="1:10" s="81" customFormat="1" ht="15" x14ac:dyDescent="0.25"/>
    <row r="35" spans="4:4" ht="15" x14ac:dyDescent="0.25">
      <c r="D35" s="239"/>
    </row>
  </sheetData>
  <mergeCells count="5">
    <mergeCell ref="B5:D5"/>
    <mergeCell ref="E5:G5"/>
    <mergeCell ref="H5:J5"/>
    <mergeCell ref="A1:J1"/>
    <mergeCell ref="A3:J3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scale="79" orientation="portrait" r:id="rId1"/>
  <headerFooter alignWithMargins="0">
    <oddFooter>&amp;C&amp;"David,מודגש"&amp;11עמוד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pageSetUpPr fitToPage="1"/>
  </sheetPr>
  <dimension ref="A6:J33"/>
  <sheetViews>
    <sheetView showGridLines="0" rightToLeft="1" view="pageLayout" topLeftCell="A7" workbookViewId="0">
      <selection activeCell="E55" sqref="E55"/>
    </sheetView>
  </sheetViews>
  <sheetFormatPr defaultRowHeight="12.75" x14ac:dyDescent="0.2"/>
  <sheetData>
    <row r="6" spans="1:10" ht="42.75" customHeight="1" x14ac:dyDescent="0.2"/>
    <row r="8" spans="1:10" ht="32.25" customHeight="1" x14ac:dyDescent="0.2"/>
    <row r="9" spans="1:10" ht="44.25" customHeight="1" x14ac:dyDescent="0.2"/>
    <row r="11" spans="1:10" ht="60.75" x14ac:dyDescent="0.85">
      <c r="A11" s="1360" t="s">
        <v>148</v>
      </c>
      <c r="B11" s="1360"/>
      <c r="C11" s="1360"/>
      <c r="D11" s="1360"/>
      <c r="E11" s="1360"/>
      <c r="F11" s="1360"/>
      <c r="G11" s="1360"/>
      <c r="H11" s="1360"/>
      <c r="I11" s="1360"/>
      <c r="J11" s="1360"/>
    </row>
    <row r="12" spans="1:10" ht="106.5" x14ac:dyDescent="1.45">
      <c r="A12" s="1361" t="s">
        <v>149</v>
      </c>
      <c r="B12" s="1361"/>
      <c r="C12" s="1361"/>
      <c r="D12" s="1361"/>
      <c r="E12" s="1361"/>
      <c r="F12" s="1361"/>
      <c r="G12" s="1361"/>
      <c r="H12" s="1361"/>
      <c r="I12" s="1361"/>
      <c r="J12" s="1361"/>
    </row>
    <row r="13" spans="1:10" ht="60.75" x14ac:dyDescent="0.85">
      <c r="A13" s="1360" t="s">
        <v>148</v>
      </c>
      <c r="B13" s="1360"/>
      <c r="C13" s="1360"/>
      <c r="D13" s="1360"/>
      <c r="E13" s="1360"/>
      <c r="F13" s="1360"/>
      <c r="G13" s="1360"/>
      <c r="H13" s="1360"/>
      <c r="I13" s="1360"/>
      <c r="J13" s="1360"/>
    </row>
    <row r="33" spans="4:4" ht="15" x14ac:dyDescent="0.25">
      <c r="D33" s="239"/>
    </row>
  </sheetData>
  <mergeCells count="3">
    <mergeCell ref="A11:J11"/>
    <mergeCell ref="A12:J12"/>
    <mergeCell ref="A13:J13"/>
  </mergeCells>
  <phoneticPr fontId="0" type="noConversion"/>
  <pageMargins left="0.19685039370078741" right="0.35433070866141736" top="0.59055118110236227" bottom="0.59055118110236227" header="0.51181102362204722" footer="0.51181102362204722"/>
  <pageSetup paperSize="9" orientation="portrait" r:id="rId1"/>
  <headerFooter alignWithMargins="0">
    <oddFooter>&amp;C&amp;"David,מודגש"&amp;11עמוד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rightToLeft="1" view="pageLayout" workbookViewId="0">
      <selection activeCell="B14" sqref="B14"/>
    </sheetView>
  </sheetViews>
  <sheetFormatPr defaultColWidth="9.140625" defaultRowHeight="12.75" x14ac:dyDescent="0.2"/>
  <cols>
    <col min="1" max="1" width="4.5703125" style="12" customWidth="1"/>
    <col min="2" max="2" width="4.5703125" style="388" customWidth="1"/>
    <col min="3" max="13" width="4.5703125" style="12" customWidth="1"/>
    <col min="14" max="14" width="6.42578125" style="12" customWidth="1"/>
    <col min="15" max="18" width="4.5703125" style="12" customWidth="1"/>
    <col min="19" max="19" width="6.28515625" style="12" customWidth="1"/>
    <col min="20" max="29" width="4.5703125" style="12" customWidth="1"/>
    <col min="30" max="16384" width="9.140625" style="12"/>
  </cols>
  <sheetData>
    <row r="1" spans="1:22" s="382" customFormat="1" ht="27.75" customHeight="1" x14ac:dyDescent="0.2">
      <c r="A1" s="1362" t="s">
        <v>16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</row>
    <row r="2" spans="1:22" s="382" customFormat="1" ht="20.25" customHeight="1" x14ac:dyDescent="0.3">
      <c r="A2" s="1365"/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745"/>
    </row>
    <row r="3" spans="1:22" ht="18.75" x14ac:dyDescent="0.3">
      <c r="A3" s="1363" t="s">
        <v>3312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</row>
    <row r="4" spans="1:22" ht="45" customHeight="1" x14ac:dyDescent="0.2"/>
    <row r="6" spans="1:22" ht="15.75" x14ac:dyDescent="0.25">
      <c r="A6" s="627" t="s">
        <v>150</v>
      </c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</row>
    <row r="7" spans="1:22" ht="15.75" x14ac:dyDescent="0.25">
      <c r="A7" s="62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22" ht="15.75" x14ac:dyDescent="0.25">
      <c r="A8" s="626">
        <v>1</v>
      </c>
      <c r="B8" s="627" t="s">
        <v>3313</v>
      </c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</row>
    <row r="9" spans="1:22" ht="15.75" x14ac:dyDescent="0.25">
      <c r="A9" s="626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22" ht="15.75" x14ac:dyDescent="0.25">
      <c r="A10" s="626">
        <v>2</v>
      </c>
      <c r="B10" s="104" t="s">
        <v>3314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2" ht="15.75" x14ac:dyDescent="0.25">
      <c r="A11" s="626"/>
      <c r="B11" s="627" t="s">
        <v>151</v>
      </c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</row>
    <row r="12" spans="1:22" ht="15.75" x14ac:dyDescent="0.25">
      <c r="A12" s="626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22" ht="15.75" x14ac:dyDescent="0.25">
      <c r="A13" s="626">
        <v>3</v>
      </c>
      <c r="B13" s="627" t="s">
        <v>3315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</row>
    <row r="14" spans="1:22" ht="15.75" x14ac:dyDescent="0.25">
      <c r="A14" s="626"/>
      <c r="B14" s="627" t="s">
        <v>2060</v>
      </c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</row>
    <row r="15" spans="1:22" ht="15.75" x14ac:dyDescent="0.25">
      <c r="B15" s="62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7" spans="2:20" ht="26.25" customHeight="1" x14ac:dyDescent="0.2"/>
    <row r="18" spans="2:20" ht="15.75" x14ac:dyDescent="0.25">
      <c r="B18" s="625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spans="2:20" ht="15.75" x14ac:dyDescent="0.25">
      <c r="B19" s="62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</row>
    <row r="20" spans="2:20" ht="15.75" x14ac:dyDescent="0.25">
      <c r="B20" s="628"/>
      <c r="C20" s="629"/>
      <c r="D20" s="629"/>
      <c r="E20" s="629"/>
      <c r="F20" s="104"/>
      <c r="G20" s="104"/>
      <c r="H20" s="104"/>
      <c r="I20" s="629"/>
      <c r="J20" s="629"/>
      <c r="K20" s="629"/>
      <c r="L20" s="629"/>
      <c r="M20" s="104"/>
      <c r="N20" s="104"/>
      <c r="O20" s="1364"/>
      <c r="P20" s="1364"/>
      <c r="Q20" s="1364"/>
      <c r="R20" s="1364"/>
      <c r="S20" s="1364"/>
      <c r="T20" s="104"/>
    </row>
    <row r="21" spans="2:20" s="57" customFormat="1" ht="15.75" x14ac:dyDescent="0.25">
      <c r="B21" s="1368" t="s">
        <v>152</v>
      </c>
      <c r="C21" s="1368"/>
      <c r="D21" s="1368"/>
      <c r="E21" s="1368"/>
      <c r="F21" s="155"/>
      <c r="G21" s="155"/>
      <c r="H21" s="155"/>
      <c r="I21" s="1367" t="s">
        <v>153</v>
      </c>
      <c r="J21" s="1367"/>
      <c r="K21" s="1367"/>
      <c r="L21" s="1367"/>
      <c r="M21" s="155"/>
      <c r="N21" s="155"/>
      <c r="O21" s="1369" t="s">
        <v>154</v>
      </c>
      <c r="P21" s="1369"/>
      <c r="Q21" s="1369"/>
      <c r="R21" s="1369"/>
      <c r="S21" s="1369"/>
      <c r="T21" s="1369"/>
    </row>
    <row r="22" spans="2:20" s="57" customFormat="1" ht="15.75" x14ac:dyDescent="0.25">
      <c r="B22" s="626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370" t="s">
        <v>155</v>
      </c>
      <c r="P22" s="1370"/>
      <c r="Q22" s="1370"/>
      <c r="R22" s="1370"/>
      <c r="S22" s="1370"/>
      <c r="T22" s="1370"/>
    </row>
    <row r="23" spans="2:20" ht="15.75" x14ac:dyDescent="0.25">
      <c r="B23" s="625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spans="2:20" ht="41.25" customHeight="1" x14ac:dyDescent="0.25">
      <c r="B24" s="625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2:20" ht="15.75" x14ac:dyDescent="0.25">
      <c r="B25" s="62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</row>
    <row r="26" spans="2:20" ht="15.75" x14ac:dyDescent="0.25">
      <c r="B26" s="625"/>
      <c r="C26" s="104"/>
      <c r="D26" s="104"/>
      <c r="E26" s="629"/>
      <c r="F26" s="629"/>
      <c r="G26" s="629"/>
      <c r="H26" s="629"/>
      <c r="I26" s="629"/>
      <c r="J26" s="104"/>
      <c r="K26" s="104"/>
      <c r="L26" s="104"/>
      <c r="M26" s="629"/>
      <c r="N26" s="629"/>
      <c r="O26" s="629"/>
      <c r="P26" s="629"/>
      <c r="Q26" s="104"/>
      <c r="R26" s="104"/>
      <c r="S26" s="104"/>
      <c r="T26" s="104"/>
    </row>
    <row r="27" spans="2:20" s="57" customFormat="1" ht="15.75" x14ac:dyDescent="0.25">
      <c r="B27" s="626"/>
      <c r="C27" s="155"/>
      <c r="D27" s="155"/>
      <c r="E27" s="1366" t="s">
        <v>156</v>
      </c>
      <c r="F27" s="1366"/>
      <c r="G27" s="1366"/>
      <c r="H27" s="1366"/>
      <c r="I27" s="1366"/>
      <c r="J27" s="155"/>
      <c r="K27" s="155"/>
      <c r="L27" s="155"/>
      <c r="M27" s="1367" t="s">
        <v>157</v>
      </c>
      <c r="N27" s="1367"/>
      <c r="O27" s="1367"/>
      <c r="P27" s="1367"/>
      <c r="Q27" s="155"/>
      <c r="R27" s="155"/>
      <c r="S27" s="155"/>
      <c r="T27" s="155"/>
    </row>
    <row r="28" spans="2:20" ht="15.75" x14ac:dyDescent="0.25">
      <c r="B28" s="625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</row>
    <row r="29" spans="2:20" ht="15.75" x14ac:dyDescent="0.25">
      <c r="B29" s="625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</row>
    <row r="30" spans="2:20" ht="15.75" x14ac:dyDescent="0.25">
      <c r="B30" s="625"/>
      <c r="C30" s="104"/>
      <c r="D30" s="155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</sheetData>
  <mergeCells count="10">
    <mergeCell ref="A1:V1"/>
    <mergeCell ref="A3:V3"/>
    <mergeCell ref="O20:S20"/>
    <mergeCell ref="A2:S2"/>
    <mergeCell ref="E27:I27"/>
    <mergeCell ref="M27:P27"/>
    <mergeCell ref="B21:E21"/>
    <mergeCell ref="I21:L21"/>
    <mergeCell ref="O21:T21"/>
    <mergeCell ref="O22:T22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scale="96" orientation="portrait" r:id="rId1"/>
  <headerFooter alignWithMargins="0">
    <oddFooter>&amp;C&amp;"David,מודגש"&amp;11עמוד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rightToLeft="1" view="pageLayout" workbookViewId="0">
      <selection activeCell="B17" sqref="B17"/>
    </sheetView>
  </sheetViews>
  <sheetFormatPr defaultColWidth="9.140625" defaultRowHeight="12.75" x14ac:dyDescent="0.2"/>
  <cols>
    <col min="1" max="1" width="4.5703125" style="12" customWidth="1"/>
    <col min="2" max="2" width="4.5703125" style="388" customWidth="1"/>
    <col min="3" max="13" width="4.5703125" style="12" customWidth="1"/>
    <col min="14" max="14" width="6.42578125" style="12" customWidth="1"/>
    <col min="15" max="18" width="4.5703125" style="12" customWidth="1"/>
    <col min="19" max="19" width="6.28515625" style="12" customWidth="1"/>
    <col min="20" max="29" width="4.5703125" style="12" customWidth="1"/>
    <col min="30" max="16384" width="9.140625" style="12"/>
  </cols>
  <sheetData>
    <row r="1" spans="1:21" s="382" customFormat="1" ht="27.75" customHeight="1" x14ac:dyDescent="0.2">
      <c r="A1" s="1362" t="s">
        <v>16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</row>
    <row r="2" spans="1:21" s="382" customFormat="1" ht="18.75" x14ac:dyDescent="0.3">
      <c r="A2" s="1371"/>
      <c r="B2" s="1371"/>
      <c r="C2" s="1371"/>
      <c r="D2" s="1371"/>
      <c r="E2" s="1371"/>
      <c r="F2" s="1371"/>
      <c r="G2" s="1371"/>
      <c r="H2" s="1371"/>
      <c r="I2" s="1371"/>
      <c r="J2" s="1371"/>
      <c r="K2" s="1371"/>
      <c r="L2" s="1371"/>
      <c r="M2" s="1371"/>
      <c r="N2" s="1371"/>
      <c r="O2" s="1371"/>
      <c r="P2" s="1371"/>
      <c r="Q2" s="1371"/>
      <c r="R2" s="1371"/>
      <c r="S2" s="1371"/>
    </row>
    <row r="4" spans="1:21" ht="18.75" x14ac:dyDescent="0.3">
      <c r="A4" s="1363" t="s">
        <v>3316</v>
      </c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3"/>
    </row>
    <row r="5" spans="1:21" ht="45" customHeight="1" x14ac:dyDescent="0.2"/>
    <row r="7" spans="1:21" ht="15.75" x14ac:dyDescent="0.25">
      <c r="A7" s="627" t="s">
        <v>3191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</row>
    <row r="8" spans="1:21" ht="15.75" x14ac:dyDescent="0.25">
      <c r="A8" s="627" t="s">
        <v>3317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</row>
    <row r="9" spans="1:21" ht="15.75" x14ac:dyDescent="0.25">
      <c r="A9" s="625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21" ht="15.75" x14ac:dyDescent="0.25">
      <c r="A10" s="626">
        <v>1</v>
      </c>
      <c r="B10" s="627" t="s">
        <v>3318</v>
      </c>
      <c r="C10" s="627"/>
      <c r="D10" s="627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</row>
    <row r="11" spans="1:21" ht="15.75" x14ac:dyDescent="0.25">
      <c r="A11" s="626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21" ht="15.75" x14ac:dyDescent="0.25">
      <c r="A12" s="626">
        <v>2</v>
      </c>
      <c r="B12" s="630" t="s">
        <v>158</v>
      </c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</row>
    <row r="13" spans="1:21" ht="15.75" x14ac:dyDescent="0.25">
      <c r="A13" s="626"/>
      <c r="B13" s="627" t="s">
        <v>159</v>
      </c>
      <c r="C13" s="627"/>
      <c r="D13" s="627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</row>
    <row r="14" spans="1:21" ht="15.75" x14ac:dyDescent="0.25">
      <c r="A14" s="626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21" ht="15.75" x14ac:dyDescent="0.25">
      <c r="A15" s="626">
        <v>3</v>
      </c>
      <c r="B15" s="627" t="s">
        <v>3319</v>
      </c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</row>
    <row r="16" spans="1:21" ht="15.75" x14ac:dyDescent="0.25">
      <c r="A16" s="626"/>
      <c r="B16" s="627" t="s">
        <v>3320</v>
      </c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</row>
    <row r="19" spans="2:18" ht="26.25" customHeight="1" x14ac:dyDescent="0.2"/>
    <row r="20" spans="2:18" ht="6.75" customHeight="1" x14ac:dyDescent="0.2"/>
    <row r="22" spans="2:18" ht="15.75" x14ac:dyDescent="0.25"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579"/>
      <c r="P22" s="579"/>
      <c r="Q22" s="579"/>
      <c r="R22" s="579"/>
    </row>
    <row r="23" spans="2:18" ht="15.75" x14ac:dyDescent="0.25">
      <c r="D23" s="629"/>
      <c r="E23" s="629"/>
      <c r="F23" s="629"/>
      <c r="G23" s="629"/>
      <c r="H23" s="104"/>
      <c r="I23" s="104"/>
      <c r="J23" s="104"/>
      <c r="K23" s="104"/>
      <c r="L23" s="104"/>
      <c r="M23" s="629"/>
      <c r="N23" s="629"/>
      <c r="O23" s="763"/>
      <c r="P23" s="763"/>
      <c r="Q23" s="579"/>
      <c r="R23" s="579"/>
    </row>
    <row r="24" spans="2:18" s="57" customFormat="1" ht="15.75" x14ac:dyDescent="0.25">
      <c r="B24" s="389"/>
      <c r="D24" s="1366" t="s">
        <v>152</v>
      </c>
      <c r="E24" s="1366"/>
      <c r="F24" s="1366"/>
      <c r="G24" s="1366"/>
      <c r="H24" s="155"/>
      <c r="I24" s="155"/>
      <c r="J24" s="155"/>
      <c r="K24" s="155"/>
      <c r="L24" s="155"/>
      <c r="M24" s="1367" t="s">
        <v>153</v>
      </c>
      <c r="N24" s="1367"/>
      <c r="O24" s="1367"/>
      <c r="P24" s="1367"/>
      <c r="Q24" s="274"/>
      <c r="R24" s="274"/>
    </row>
    <row r="25" spans="2:18" ht="15.75" x14ac:dyDescent="0.25"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2:18" ht="53.25" customHeight="1" x14ac:dyDescent="0.2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2:18" ht="15.75" x14ac:dyDescent="0.25"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2:18" ht="15.75" x14ac:dyDescent="0.25">
      <c r="D28" s="629"/>
      <c r="E28" s="629"/>
      <c r="F28" s="629"/>
      <c r="G28" s="629"/>
      <c r="H28" s="631"/>
      <c r="I28" s="631"/>
      <c r="J28" s="104"/>
      <c r="K28" s="104"/>
      <c r="L28" s="104"/>
      <c r="M28" s="629"/>
      <c r="N28" s="629"/>
      <c r="O28" s="629"/>
      <c r="P28" s="629"/>
      <c r="Q28" s="104"/>
      <c r="R28" s="104"/>
    </row>
    <row r="29" spans="2:18" s="57" customFormat="1" ht="15.75" x14ac:dyDescent="0.25">
      <c r="B29" s="389"/>
      <c r="C29" s="776"/>
      <c r="D29" s="1366" t="s">
        <v>156</v>
      </c>
      <c r="E29" s="1366"/>
      <c r="F29" s="1366"/>
      <c r="G29" s="1366"/>
      <c r="H29" s="764"/>
      <c r="J29" s="155"/>
      <c r="K29" s="155"/>
      <c r="L29" s="155"/>
      <c r="M29" s="1367" t="s">
        <v>157</v>
      </c>
      <c r="N29" s="1367"/>
      <c r="O29" s="1367"/>
      <c r="P29" s="1367"/>
      <c r="Q29" s="155"/>
      <c r="R29" s="155"/>
    </row>
    <row r="31" spans="2:18" ht="15" x14ac:dyDescent="0.25">
      <c r="D31" s="239"/>
    </row>
  </sheetData>
  <mergeCells count="7">
    <mergeCell ref="A1:U1"/>
    <mergeCell ref="A4:U4"/>
    <mergeCell ref="A2:S2"/>
    <mergeCell ref="M29:P29"/>
    <mergeCell ref="D24:G24"/>
    <mergeCell ref="M24:P24"/>
    <mergeCell ref="D29:G29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orientation="portrait" r:id="rId1"/>
  <headerFooter alignWithMargins="0">
    <oddFooter>&amp;C&amp;"David,מודגש"&amp;11עמוד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rightToLeft="1" view="pageLayout" workbookViewId="0">
      <selection activeCell="E55" sqref="E55"/>
    </sheetView>
  </sheetViews>
  <sheetFormatPr defaultColWidth="9.140625" defaultRowHeight="12.75" x14ac:dyDescent="0.2"/>
  <cols>
    <col min="1" max="1" width="25.85546875" style="12" customWidth="1"/>
    <col min="2" max="4" width="15.28515625" style="12" customWidth="1"/>
    <col min="5" max="5" width="20.5703125" style="12" customWidth="1"/>
    <col min="6" max="6" width="37.42578125" style="12" customWidth="1"/>
    <col min="7" max="16384" width="9.140625" style="12"/>
  </cols>
  <sheetData>
    <row r="1" spans="1:6" s="382" customFormat="1" ht="27.75" customHeight="1" x14ac:dyDescent="0.2">
      <c r="A1" s="1372" t="s">
        <v>16</v>
      </c>
      <c r="B1" s="1373"/>
      <c r="C1" s="1373"/>
      <c r="D1" s="1373"/>
      <c r="E1" s="1373"/>
      <c r="F1" s="1374"/>
    </row>
    <row r="2" spans="1:6" s="382" customFormat="1" ht="11.25" customHeight="1" x14ac:dyDescent="0.35">
      <c r="A2" s="82"/>
      <c r="B2" s="82"/>
      <c r="C2" s="82"/>
      <c r="D2" s="82"/>
      <c r="E2" s="82"/>
      <c r="F2" s="82"/>
    </row>
    <row r="3" spans="1:6" s="382" customFormat="1" ht="20.25" customHeight="1" x14ac:dyDescent="0.3">
      <c r="A3" s="1352" t="s">
        <v>3190</v>
      </c>
      <c r="B3" s="1353"/>
      <c r="C3" s="1353"/>
      <c r="D3" s="1353"/>
      <c r="E3" s="1353"/>
      <c r="F3" s="1354"/>
    </row>
    <row r="6" spans="1:6" s="10" customFormat="1" ht="31.5" x14ac:dyDescent="0.2">
      <c r="A6" s="762" t="s">
        <v>160</v>
      </c>
      <c r="B6" s="762" t="s">
        <v>161</v>
      </c>
      <c r="C6" s="762" t="s">
        <v>162</v>
      </c>
      <c r="D6" s="762" t="s">
        <v>163</v>
      </c>
      <c r="E6" s="762" t="s">
        <v>164</v>
      </c>
      <c r="F6" s="762" t="s">
        <v>165</v>
      </c>
    </row>
    <row r="7" spans="1:6" s="10" customFormat="1" ht="31.5" x14ac:dyDescent="0.2">
      <c r="A7" s="762" t="s">
        <v>166</v>
      </c>
      <c r="B7" s="762" t="s">
        <v>167</v>
      </c>
      <c r="C7" s="762" t="s">
        <v>168</v>
      </c>
      <c r="D7" s="762" t="s">
        <v>169</v>
      </c>
      <c r="E7" s="762" t="s">
        <v>170</v>
      </c>
      <c r="F7" s="762" t="s">
        <v>171</v>
      </c>
    </row>
    <row r="8" spans="1:6" ht="18.75" x14ac:dyDescent="0.3">
      <c r="A8" s="390"/>
      <c r="B8" s="390"/>
      <c r="C8" s="390"/>
      <c r="D8" s="390"/>
      <c r="E8" s="390"/>
      <c r="F8" s="390"/>
    </row>
    <row r="9" spans="1:6" ht="18.75" x14ac:dyDescent="0.3">
      <c r="A9" s="390"/>
      <c r="B9" s="390"/>
      <c r="C9" s="390"/>
      <c r="D9" s="390"/>
      <c r="E9" s="390"/>
      <c r="F9" s="390"/>
    </row>
    <row r="10" spans="1:6" ht="18.75" x14ac:dyDescent="0.3">
      <c r="A10" s="390"/>
      <c r="B10" s="390"/>
      <c r="C10" s="390"/>
      <c r="D10" s="390"/>
      <c r="E10" s="390"/>
      <c r="F10" s="390"/>
    </row>
    <row r="11" spans="1:6" ht="18.75" x14ac:dyDescent="0.3">
      <c r="A11" s="390"/>
      <c r="B11" s="390"/>
      <c r="C11" s="390"/>
      <c r="D11" s="390"/>
      <c r="E11" s="390"/>
      <c r="F11" s="390"/>
    </row>
    <row r="12" spans="1:6" ht="18.75" x14ac:dyDescent="0.3">
      <c r="A12" s="1375"/>
      <c r="B12" s="1376"/>
      <c r="C12" s="1376"/>
      <c r="D12" s="1376"/>
      <c r="E12" s="1376"/>
      <c r="F12" s="1377"/>
    </row>
    <row r="13" spans="1:6" ht="18.75" x14ac:dyDescent="0.3">
      <c r="A13" s="390"/>
      <c r="B13" s="390"/>
      <c r="C13" s="390"/>
      <c r="D13" s="390"/>
      <c r="E13" s="390"/>
      <c r="F13" s="390"/>
    </row>
    <row r="14" spans="1:6" ht="18.75" x14ac:dyDescent="0.3">
      <c r="A14" s="390"/>
      <c r="B14" s="390"/>
      <c r="C14" s="390"/>
      <c r="D14" s="390"/>
      <c r="E14" s="390"/>
      <c r="F14" s="390"/>
    </row>
    <row r="15" spans="1:6" ht="18.75" x14ac:dyDescent="0.3">
      <c r="A15" s="390"/>
      <c r="B15" s="390"/>
      <c r="C15" s="390"/>
      <c r="D15" s="390"/>
      <c r="E15" s="390"/>
      <c r="F15" s="390"/>
    </row>
    <row r="16" spans="1:6" ht="18.75" x14ac:dyDescent="0.3">
      <c r="A16" s="390"/>
      <c r="B16" s="390"/>
      <c r="C16" s="390"/>
      <c r="D16" s="390"/>
      <c r="E16" s="390"/>
      <c r="F16" s="390"/>
    </row>
    <row r="17" spans="1:6" ht="18.75" x14ac:dyDescent="0.3">
      <c r="A17" s="390"/>
      <c r="B17" s="390"/>
      <c r="C17" s="390"/>
      <c r="D17" s="390"/>
      <c r="E17" s="390"/>
      <c r="F17" s="390"/>
    </row>
    <row r="18" spans="1:6" ht="18.75" x14ac:dyDescent="0.3">
      <c r="A18" s="390"/>
      <c r="B18" s="390"/>
      <c r="C18" s="390"/>
      <c r="D18" s="390"/>
      <c r="E18" s="390"/>
      <c r="F18" s="390"/>
    </row>
    <row r="19" spans="1:6" ht="18.75" x14ac:dyDescent="0.3">
      <c r="A19" s="390"/>
      <c r="B19" s="390"/>
      <c r="C19" s="390"/>
      <c r="D19" s="390"/>
      <c r="E19" s="390"/>
      <c r="F19" s="390"/>
    </row>
    <row r="20" spans="1:6" ht="18.75" x14ac:dyDescent="0.3">
      <c r="A20" s="390"/>
      <c r="B20" s="390"/>
      <c r="C20" s="390"/>
      <c r="D20" s="390"/>
      <c r="E20" s="390"/>
      <c r="F20" s="390"/>
    </row>
    <row r="21" spans="1:6" ht="18.75" x14ac:dyDescent="0.3">
      <c r="A21" s="390"/>
      <c r="B21" s="390"/>
      <c r="C21" s="390"/>
      <c r="D21" s="390"/>
      <c r="E21" s="390"/>
      <c r="F21" s="390"/>
    </row>
    <row r="22" spans="1:6" ht="18.75" x14ac:dyDescent="0.3">
      <c r="A22" s="390"/>
      <c r="B22" s="390"/>
      <c r="C22" s="390"/>
      <c r="D22" s="390"/>
      <c r="E22" s="390"/>
      <c r="F22" s="390"/>
    </row>
    <row r="23" spans="1:6" ht="18.75" x14ac:dyDescent="0.3">
      <c r="A23" s="390"/>
      <c r="B23" s="390"/>
      <c r="C23" s="390"/>
      <c r="D23" s="390"/>
      <c r="E23" s="390"/>
      <c r="F23" s="390"/>
    </row>
    <row r="24" spans="1:6" ht="18.75" x14ac:dyDescent="0.3">
      <c r="A24" s="390"/>
      <c r="B24" s="390"/>
      <c r="C24" s="390"/>
      <c r="D24" s="390"/>
      <c r="E24" s="390"/>
      <c r="F24" s="390"/>
    </row>
    <row r="25" spans="1:6" ht="18.75" x14ac:dyDescent="0.3">
      <c r="A25" s="390"/>
      <c r="B25" s="390"/>
      <c r="C25" s="390"/>
      <c r="D25" s="390"/>
      <c r="E25" s="390"/>
      <c r="F25" s="390"/>
    </row>
    <row r="34" spans="4:4" ht="15" x14ac:dyDescent="0.25">
      <c r="D34" s="239"/>
    </row>
  </sheetData>
  <mergeCells count="3">
    <mergeCell ref="A1:F1"/>
    <mergeCell ref="A3:F3"/>
    <mergeCell ref="A12:F12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scale="77" orientation="portrait" r:id="rId1"/>
  <headerFooter alignWithMargins="0">
    <oddFooter>&amp;C&amp;"David,מודגש"&amp;11עמוד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rightToLeft="1" view="pageLayout" workbookViewId="0">
      <selection activeCell="D11" sqref="D11"/>
    </sheetView>
  </sheetViews>
  <sheetFormatPr defaultColWidth="9.140625" defaultRowHeight="12.75" x14ac:dyDescent="0.2"/>
  <cols>
    <col min="1" max="1" width="9.140625" style="12"/>
    <col min="2" max="6" width="18" style="12" customWidth="1"/>
    <col min="7" max="16384" width="9.140625" style="12"/>
  </cols>
  <sheetData>
    <row r="1" spans="1:6" ht="23.25" x14ac:dyDescent="0.35">
      <c r="B1" s="1311" t="s">
        <v>16</v>
      </c>
      <c r="C1" s="1312"/>
      <c r="D1" s="1312"/>
      <c r="E1" s="1312"/>
      <c r="F1" s="1313"/>
    </row>
    <row r="3" spans="1:6" ht="18.75" x14ac:dyDescent="0.3">
      <c r="B3" s="1378" t="s">
        <v>172</v>
      </c>
      <c r="C3" s="1379"/>
      <c r="D3" s="1379"/>
      <c r="E3" s="1379"/>
      <c r="F3" s="1380"/>
    </row>
    <row r="4" spans="1:6" ht="18.75" x14ac:dyDescent="0.3">
      <c r="B4" s="632"/>
      <c r="C4" s="1381" t="s">
        <v>173</v>
      </c>
      <c r="D4" s="1381"/>
      <c r="E4" s="1381"/>
      <c r="F4" s="219"/>
    </row>
    <row r="7" spans="1:6" ht="10.5" customHeight="1" x14ac:dyDescent="0.2"/>
    <row r="9" spans="1:6" s="85" customFormat="1" ht="15.75" x14ac:dyDescent="0.25">
      <c r="A9" s="551" t="s">
        <v>174</v>
      </c>
      <c r="B9" s="393" t="s">
        <v>175</v>
      </c>
      <c r="C9" s="393" t="s">
        <v>176</v>
      </c>
      <c r="D9" s="393" t="s">
        <v>177</v>
      </c>
      <c r="E9" s="393" t="s">
        <v>178</v>
      </c>
      <c r="F9" s="393" t="s">
        <v>179</v>
      </c>
    </row>
    <row r="10" spans="1:6" s="81" customFormat="1" ht="15.75" x14ac:dyDescent="0.25">
      <c r="A10" s="394">
        <v>2019</v>
      </c>
      <c r="B10" s="391">
        <v>25000000</v>
      </c>
      <c r="C10" s="392" t="s">
        <v>3192</v>
      </c>
      <c r="D10" s="724">
        <v>25</v>
      </c>
      <c r="E10" s="400">
        <v>0.06</v>
      </c>
      <c r="F10" s="753">
        <f>B10*E10+B10/D10</f>
        <v>2500000</v>
      </c>
    </row>
    <row r="11" spans="1:6" s="81" customFormat="1" ht="15.75" x14ac:dyDescent="0.25">
      <c r="A11" s="394"/>
      <c r="B11" s="391"/>
      <c r="C11" s="392"/>
      <c r="D11" s="724"/>
      <c r="E11" s="400"/>
      <c r="F11" s="754"/>
    </row>
    <row r="12" spans="1:6" s="81" customFormat="1" ht="18" customHeight="1" x14ac:dyDescent="0.25">
      <c r="A12" s="237" t="s">
        <v>143</v>
      </c>
      <c r="B12" s="738">
        <v>5000000</v>
      </c>
      <c r="C12" s="393" t="s">
        <v>3192</v>
      </c>
      <c r="D12" s="393">
        <v>10</v>
      </c>
      <c r="E12" s="1104">
        <v>7.0000000000000007E-2</v>
      </c>
      <c r="F12" s="738">
        <f>F10</f>
        <v>2500000</v>
      </c>
    </row>
    <row r="14" spans="1:6" ht="114" customHeight="1" x14ac:dyDescent="0.2"/>
    <row r="15" spans="1:6" ht="58.5" customHeight="1" x14ac:dyDescent="0.25">
      <c r="B15" s="104"/>
      <c r="C15" s="629"/>
      <c r="D15" s="104"/>
      <c r="E15" s="629"/>
      <c r="F15" s="104"/>
    </row>
    <row r="16" spans="1:6" s="10" customFormat="1" ht="15.75" x14ac:dyDescent="0.25">
      <c r="A16" s="776"/>
      <c r="B16" s="274"/>
      <c r="C16" s="274" t="s">
        <v>152</v>
      </c>
      <c r="D16" s="274"/>
      <c r="E16" s="274" t="s">
        <v>180</v>
      </c>
      <c r="F16" s="274"/>
    </row>
    <row r="17" spans="1:6" ht="15.75" x14ac:dyDescent="0.25">
      <c r="B17" s="104"/>
      <c r="C17" s="104"/>
      <c r="D17" s="104"/>
      <c r="E17" s="104"/>
      <c r="F17" s="104"/>
    </row>
    <row r="18" spans="1:6" ht="15.75" x14ac:dyDescent="0.25">
      <c r="B18" s="104"/>
      <c r="C18" s="104"/>
      <c r="D18" s="104"/>
      <c r="E18" s="104"/>
      <c r="F18" s="104"/>
    </row>
    <row r="19" spans="1:6" ht="15.75" x14ac:dyDescent="0.25">
      <c r="B19" s="104"/>
      <c r="C19" s="104"/>
      <c r="D19" s="104"/>
      <c r="E19" s="104"/>
      <c r="F19" s="104"/>
    </row>
    <row r="20" spans="1:6" ht="15.75" x14ac:dyDescent="0.25">
      <c r="B20" s="104"/>
      <c r="C20" s="104"/>
      <c r="D20" s="104"/>
      <c r="E20" s="104"/>
      <c r="F20" s="104"/>
    </row>
    <row r="21" spans="1:6" ht="27.75" customHeight="1" x14ac:dyDescent="0.25">
      <c r="B21" s="104"/>
      <c r="C21" s="104"/>
      <c r="D21" s="104"/>
      <c r="E21" s="104"/>
      <c r="F21" s="104"/>
    </row>
    <row r="22" spans="1:6" ht="15.75" x14ac:dyDescent="0.25">
      <c r="B22" s="104"/>
      <c r="C22" s="629"/>
      <c r="D22" s="104"/>
      <c r="E22" s="629"/>
      <c r="F22" s="104"/>
    </row>
    <row r="23" spans="1:6" s="10" customFormat="1" ht="15.75" x14ac:dyDescent="0.25">
      <c r="A23" s="776"/>
      <c r="B23" s="274"/>
      <c r="C23" s="274" t="s">
        <v>181</v>
      </c>
      <c r="D23" s="274"/>
      <c r="E23" s="274" t="s">
        <v>182</v>
      </c>
      <c r="F23" s="274"/>
    </row>
    <row r="24" spans="1:6" ht="15.75" x14ac:dyDescent="0.25">
      <c r="B24" s="104"/>
      <c r="C24" s="104"/>
      <c r="D24" s="104"/>
      <c r="E24" s="155"/>
      <c r="F24" s="104"/>
    </row>
    <row r="25" spans="1:6" ht="15.75" x14ac:dyDescent="0.25">
      <c r="B25" s="104"/>
      <c r="C25" s="104"/>
      <c r="D25" s="104"/>
      <c r="E25" s="104"/>
      <c r="F25" s="104"/>
    </row>
  </sheetData>
  <mergeCells count="3">
    <mergeCell ref="B1:F1"/>
    <mergeCell ref="B3:F3"/>
    <mergeCell ref="C4:E4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orientation="portrait" r:id="rId1"/>
  <headerFooter alignWithMargins="0">
    <oddFooter>&amp;C&amp;"David,מודגש"&amp;11עמוד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rightToLeft="1" view="pageLayout" topLeftCell="A2" workbookViewId="0">
      <selection activeCell="A4" sqref="A4"/>
    </sheetView>
  </sheetViews>
  <sheetFormatPr defaultColWidth="9.140625" defaultRowHeight="12.75" x14ac:dyDescent="0.2"/>
  <cols>
    <col min="1" max="1" width="24.7109375" style="12" customWidth="1"/>
    <col min="2" max="2" width="22.42578125" style="12" customWidth="1"/>
    <col min="3" max="3" width="15" style="12" customWidth="1"/>
    <col min="4" max="5" width="17" style="12" customWidth="1"/>
    <col min="6" max="16384" width="9.140625" style="12"/>
  </cols>
  <sheetData>
    <row r="1" spans="1:5" ht="23.25" x14ac:dyDescent="0.35">
      <c r="A1" s="1311" t="s">
        <v>16</v>
      </c>
      <c r="B1" s="1312"/>
      <c r="C1" s="1312"/>
      <c r="D1" s="1312"/>
      <c r="E1" s="1313"/>
    </row>
    <row r="3" spans="1:5" ht="18.75" x14ac:dyDescent="0.3">
      <c r="A3" s="1375" t="s">
        <v>3321</v>
      </c>
      <c r="B3" s="1376"/>
      <c r="C3" s="1376"/>
      <c r="D3" s="1376"/>
      <c r="E3" s="1377"/>
    </row>
    <row r="7" spans="1:5" ht="10.5" customHeight="1" x14ac:dyDescent="0.2"/>
    <row r="9" spans="1:5" s="10" customFormat="1" ht="31.5" x14ac:dyDescent="0.2">
      <c r="A9" s="762" t="s">
        <v>183</v>
      </c>
      <c r="B9" s="762" t="s">
        <v>184</v>
      </c>
      <c r="C9" s="762" t="s">
        <v>185</v>
      </c>
      <c r="D9" s="762" t="s">
        <v>186</v>
      </c>
      <c r="E9" s="762" t="s">
        <v>187</v>
      </c>
    </row>
    <row r="10" spans="1:5" s="81" customFormat="1" ht="15.75" x14ac:dyDescent="0.25">
      <c r="A10" s="392" t="s">
        <v>188</v>
      </c>
      <c r="B10" s="392" t="s">
        <v>188</v>
      </c>
      <c r="C10" s="392" t="s">
        <v>188</v>
      </c>
      <c r="D10" s="392" t="s">
        <v>188</v>
      </c>
      <c r="E10" s="392" t="s">
        <v>188</v>
      </c>
    </row>
    <row r="11" spans="1:5" s="81" customFormat="1" ht="15.75" x14ac:dyDescent="0.25">
      <c r="A11" s="393"/>
      <c r="B11" s="394"/>
      <c r="C11" s="394"/>
      <c r="D11" s="394"/>
      <c r="E11" s="394"/>
    </row>
    <row r="12" spans="1:5" s="81" customFormat="1" ht="15.75" x14ac:dyDescent="0.25">
      <c r="A12" s="393"/>
      <c r="B12" s="394"/>
      <c r="C12" s="394"/>
      <c r="D12" s="394"/>
      <c r="E12" s="394"/>
    </row>
    <row r="13" spans="1:5" s="81" customFormat="1" ht="15.75" x14ac:dyDescent="0.25">
      <c r="A13" s="393"/>
      <c r="B13" s="394"/>
      <c r="C13" s="394"/>
      <c r="D13" s="394"/>
      <c r="E13" s="394"/>
    </row>
    <row r="14" spans="1:5" s="81" customFormat="1" ht="15.75" x14ac:dyDescent="0.25">
      <c r="A14" s="393"/>
      <c r="B14" s="394"/>
      <c r="C14" s="394"/>
      <c r="D14" s="394"/>
      <c r="E14" s="394"/>
    </row>
    <row r="15" spans="1:5" ht="15.75" x14ac:dyDescent="0.25">
      <c r="A15" s="393"/>
      <c r="B15" s="394"/>
      <c r="C15" s="394"/>
      <c r="D15" s="394"/>
      <c r="E15" s="394"/>
    </row>
    <row r="16" spans="1:5" ht="15.75" x14ac:dyDescent="0.25">
      <c r="A16" s="393"/>
      <c r="B16" s="394"/>
      <c r="C16" s="394"/>
      <c r="D16" s="394"/>
      <c r="E16" s="394"/>
    </row>
    <row r="17" spans="1:5" ht="15.75" x14ac:dyDescent="0.25">
      <c r="A17" s="393"/>
      <c r="B17" s="394"/>
      <c r="C17" s="394"/>
      <c r="D17" s="394"/>
      <c r="E17" s="394"/>
    </row>
    <row r="20" spans="1:5" ht="58.5" customHeight="1" x14ac:dyDescent="0.25">
      <c r="B20" s="629"/>
      <c r="C20" s="104"/>
      <c r="D20" s="629"/>
      <c r="E20" s="104"/>
    </row>
    <row r="21" spans="1:5" s="10" customFormat="1" ht="15.75" x14ac:dyDescent="0.25">
      <c r="A21" s="776"/>
      <c r="B21" s="274" t="s">
        <v>152</v>
      </c>
      <c r="C21" s="274"/>
      <c r="D21" s="274" t="s">
        <v>180</v>
      </c>
      <c r="E21" s="274"/>
    </row>
    <row r="22" spans="1:5" ht="15.75" x14ac:dyDescent="0.25">
      <c r="B22" s="104"/>
      <c r="C22" s="104"/>
      <c r="D22" s="104"/>
      <c r="E22" s="104"/>
    </row>
    <row r="23" spans="1:5" ht="15.75" x14ac:dyDescent="0.25">
      <c r="B23" s="104"/>
      <c r="C23" s="104"/>
      <c r="D23" s="104"/>
      <c r="E23" s="104"/>
    </row>
    <row r="24" spans="1:5" ht="15.75" x14ac:dyDescent="0.25">
      <c r="B24" s="104"/>
      <c r="C24" s="104"/>
      <c r="D24" s="104"/>
      <c r="E24" s="104"/>
    </row>
    <row r="25" spans="1:5" ht="15.75" x14ac:dyDescent="0.25">
      <c r="B25" s="104"/>
      <c r="C25" s="104"/>
      <c r="D25" s="104"/>
      <c r="E25" s="104"/>
    </row>
    <row r="26" spans="1:5" ht="27.75" customHeight="1" x14ac:dyDescent="0.25">
      <c r="B26" s="104"/>
      <c r="C26" s="104"/>
      <c r="D26" s="104"/>
      <c r="E26" s="104"/>
    </row>
    <row r="27" spans="1:5" ht="15.75" x14ac:dyDescent="0.25">
      <c r="B27" s="629"/>
      <c r="C27" s="104"/>
      <c r="D27" s="629"/>
      <c r="E27" s="104"/>
    </row>
    <row r="28" spans="1:5" s="10" customFormat="1" ht="15.75" x14ac:dyDescent="0.25">
      <c r="A28" s="776"/>
      <c r="B28" s="274" t="s">
        <v>181</v>
      </c>
      <c r="C28" s="274"/>
      <c r="D28" s="274" t="s">
        <v>182</v>
      </c>
      <c r="E28" s="274"/>
    </row>
    <row r="29" spans="1:5" ht="15.75" x14ac:dyDescent="0.25">
      <c r="B29" s="104"/>
      <c r="C29" s="104"/>
      <c r="D29" s="155"/>
      <c r="E29" s="104"/>
    </row>
    <row r="30" spans="1:5" ht="15.75" x14ac:dyDescent="0.25">
      <c r="B30" s="104"/>
      <c r="C30" s="104"/>
      <c r="D30" s="104"/>
      <c r="E30" s="104"/>
    </row>
  </sheetData>
  <mergeCells count="2">
    <mergeCell ref="A1:E1"/>
    <mergeCell ref="A3:E3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orientation="portrait" r:id="rId1"/>
  <headerFooter alignWithMargins="0">
    <oddFooter>&amp;C&amp;"David,מודגש"&amp;11עמוד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rightToLeft="1" view="pageLayout" workbookViewId="0">
      <selection activeCell="E55" sqref="E55"/>
    </sheetView>
  </sheetViews>
  <sheetFormatPr defaultColWidth="8" defaultRowHeight="12.75" x14ac:dyDescent="0.2"/>
  <cols>
    <col min="1" max="2" width="8" style="395" customWidth="1"/>
    <col min="3" max="3" width="10.28515625" style="395" customWidth="1"/>
    <col min="4" max="5" width="8" style="395" customWidth="1"/>
    <col min="6" max="6" width="8.7109375" style="395" customWidth="1"/>
    <col min="7" max="9" width="8" style="395" customWidth="1"/>
    <col min="10" max="10" width="9.5703125" style="395" customWidth="1"/>
    <col min="11" max="14" width="8" style="395" customWidth="1"/>
    <col min="15" max="15" width="15" style="395" customWidth="1"/>
    <col min="16" max="16384" width="8" style="395"/>
  </cols>
  <sheetData>
    <row r="1" spans="1:15" ht="23.25" x14ac:dyDescent="0.35">
      <c r="A1" s="1311" t="s">
        <v>16</v>
      </c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  <c r="O1" s="1313"/>
    </row>
    <row r="2" spans="1:15" x14ac:dyDescent="0.2">
      <c r="A2" s="633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</row>
    <row r="3" spans="1:15" ht="18.75" x14ac:dyDescent="0.3">
      <c r="A3" s="1384" t="s">
        <v>189</v>
      </c>
      <c r="B3" s="1385"/>
      <c r="C3" s="1385"/>
      <c r="D3" s="1385"/>
      <c r="E3" s="1385"/>
      <c r="F3" s="1385"/>
      <c r="G3" s="1385"/>
      <c r="H3" s="1385"/>
      <c r="I3" s="1385"/>
      <c r="J3" s="1385"/>
      <c r="K3" s="1385"/>
      <c r="L3" s="1385"/>
      <c r="M3" s="1385"/>
      <c r="N3" s="1385"/>
      <c r="O3" s="1386"/>
    </row>
    <row r="4" spans="1:15" ht="18.75" x14ac:dyDescent="0.3">
      <c r="A4" s="1382"/>
      <c r="B4" s="1382"/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82"/>
      <c r="N4" s="1382"/>
      <c r="O4" s="1382"/>
    </row>
    <row r="5" spans="1:15" ht="18.75" x14ac:dyDescent="0.3">
      <c r="A5" s="766"/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</row>
    <row r="6" spans="1:15" ht="12.75" customHeight="1" x14ac:dyDescent="0.2">
      <c r="A6" s="1383" t="s">
        <v>190</v>
      </c>
      <c r="B6" s="1383" t="s">
        <v>174</v>
      </c>
      <c r="C6" s="1383" t="s">
        <v>191</v>
      </c>
      <c r="D6" s="1383" t="s">
        <v>192</v>
      </c>
      <c r="E6" s="1383" t="s">
        <v>193</v>
      </c>
      <c r="F6" s="1383" t="s">
        <v>194</v>
      </c>
      <c r="G6" s="1383" t="s">
        <v>195</v>
      </c>
      <c r="H6" s="1383" t="s">
        <v>196</v>
      </c>
      <c r="I6" s="1383" t="s">
        <v>197</v>
      </c>
      <c r="J6" s="1383" t="s">
        <v>198</v>
      </c>
      <c r="K6" s="1383" t="s">
        <v>199</v>
      </c>
      <c r="L6" s="1383" t="s">
        <v>200</v>
      </c>
      <c r="M6" s="1383" t="s">
        <v>201</v>
      </c>
      <c r="N6" s="1383" t="s">
        <v>202</v>
      </c>
      <c r="O6" s="1383" t="s">
        <v>203</v>
      </c>
    </row>
    <row r="7" spans="1:15" ht="61.5" customHeight="1" x14ac:dyDescent="0.2">
      <c r="A7" s="1383"/>
      <c r="B7" s="1383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</row>
    <row r="8" spans="1:15" ht="15.75" x14ac:dyDescent="0.2">
      <c r="A8" s="755" t="s">
        <v>188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15" ht="15.75" x14ac:dyDescent="0.2">
      <c r="A9" s="755" t="s">
        <v>188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15" ht="15.75" x14ac:dyDescent="0.2">
      <c r="A10" s="755" t="s">
        <v>188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15" ht="15.75" x14ac:dyDescent="0.2">
      <c r="A11" s="755" t="s">
        <v>188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</row>
    <row r="12" spans="1:15" ht="15.75" x14ac:dyDescent="0.2">
      <c r="A12" s="755" t="s">
        <v>188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15" ht="15.75" x14ac:dyDescent="0.2">
      <c r="A13" s="755" t="s">
        <v>188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</row>
    <row r="14" spans="1:15" ht="15.75" x14ac:dyDescent="0.2">
      <c r="A14" s="755" t="s">
        <v>188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</row>
    <row r="15" spans="1:15" ht="15.75" x14ac:dyDescent="0.25">
      <c r="A15" s="755" t="s">
        <v>188</v>
      </c>
      <c r="B15" s="634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</row>
    <row r="34" spans="4:4" ht="15" x14ac:dyDescent="0.25">
      <c r="D34" s="606"/>
    </row>
  </sheetData>
  <mergeCells count="18">
    <mergeCell ref="A1:O1"/>
    <mergeCell ref="G6:G7"/>
    <mergeCell ref="H6:H7"/>
    <mergeCell ref="I6:I7"/>
    <mergeCell ref="A6:A7"/>
    <mergeCell ref="B6:B7"/>
    <mergeCell ref="C6:C7"/>
    <mergeCell ref="D6:D7"/>
    <mergeCell ref="N6:N7"/>
    <mergeCell ref="F6:F7"/>
    <mergeCell ref="O6:O7"/>
    <mergeCell ref="A3:O3"/>
    <mergeCell ref="A4:O4"/>
    <mergeCell ref="J6:J7"/>
    <mergeCell ref="K6:K7"/>
    <mergeCell ref="L6:L7"/>
    <mergeCell ref="M6:M7"/>
    <mergeCell ref="E6:E7"/>
  </mergeCells>
  <phoneticPr fontId="6" type="noConversion"/>
  <pageMargins left="0.19685039370078741" right="0.35433070866141736" top="0.59055118110236227" bottom="0.59055118110236227" header="0.51181102362204722" footer="0.51181102362204722"/>
  <pageSetup paperSize="9" scale="76" orientation="portrait" r:id="rId1"/>
  <headerFooter alignWithMargins="0">
    <oddFooter>&amp;C&amp;"David,מודגש"&amp;11עמוד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rightToLeft="1" view="pageLayout" workbookViewId="0">
      <selection activeCell="B10" sqref="B10"/>
    </sheetView>
  </sheetViews>
  <sheetFormatPr defaultColWidth="9.140625" defaultRowHeight="12.75" x14ac:dyDescent="0.2"/>
  <cols>
    <col min="1" max="6" width="15.85546875" style="12" customWidth="1"/>
    <col min="7" max="16384" width="9.140625" style="12"/>
  </cols>
  <sheetData>
    <row r="1" spans="1:6" ht="23.25" x14ac:dyDescent="0.35">
      <c r="A1" s="1311" t="s">
        <v>16</v>
      </c>
      <c r="B1" s="1312"/>
      <c r="C1" s="1312"/>
      <c r="D1" s="1312"/>
      <c r="E1" s="1312"/>
      <c r="F1" s="1313"/>
    </row>
    <row r="3" spans="1:6" ht="18.75" x14ac:dyDescent="0.3">
      <c r="A3" s="1375" t="s">
        <v>204</v>
      </c>
      <c r="B3" s="1376"/>
      <c r="C3" s="1376"/>
      <c r="D3" s="1376"/>
      <c r="E3" s="1376"/>
      <c r="F3" s="1377"/>
    </row>
    <row r="7" spans="1:6" ht="10.5" customHeight="1" x14ac:dyDescent="0.2"/>
    <row r="8" spans="1:6" s="239" customFormat="1" ht="15.75" x14ac:dyDescent="0.25">
      <c r="A8" s="1359" t="s">
        <v>3189</v>
      </c>
      <c r="B8" s="1359"/>
      <c r="C8" s="1359"/>
      <c r="D8" s="1359" t="s">
        <v>205</v>
      </c>
      <c r="E8" s="1359"/>
      <c r="F8" s="635" t="s">
        <v>206</v>
      </c>
    </row>
    <row r="9" spans="1:6" s="10" customFormat="1" ht="31.5" x14ac:dyDescent="0.2">
      <c r="A9" s="762" t="s">
        <v>207</v>
      </c>
      <c r="B9" s="762" t="s">
        <v>208</v>
      </c>
      <c r="C9" s="762" t="s">
        <v>209</v>
      </c>
      <c r="D9" s="762" t="s">
        <v>210</v>
      </c>
      <c r="E9" s="762" t="s">
        <v>211</v>
      </c>
      <c r="F9" s="636" t="s">
        <v>3188</v>
      </c>
    </row>
    <row r="10" spans="1:6" s="81" customFormat="1" ht="94.5" x14ac:dyDescent="0.25">
      <c r="A10" s="762">
        <v>35.57</v>
      </c>
      <c r="B10" s="762">
        <v>35.57</v>
      </c>
      <c r="C10" s="762">
        <v>35.57</v>
      </c>
      <c r="D10" s="637" t="s">
        <v>3303</v>
      </c>
      <c r="E10" s="637" t="s">
        <v>3303</v>
      </c>
      <c r="F10" s="762" t="s">
        <v>188</v>
      </c>
    </row>
    <row r="11" spans="1:6" s="81" customFormat="1" ht="15.75" x14ac:dyDescent="0.25">
      <c r="A11" s="394"/>
      <c r="B11" s="394"/>
      <c r="C11" s="394"/>
      <c r="D11" s="394"/>
      <c r="E11" s="394"/>
      <c r="F11" s="90"/>
    </row>
    <row r="12" spans="1:6" s="81" customFormat="1" ht="15.75" x14ac:dyDescent="0.25">
      <c r="A12" s="394"/>
      <c r="B12" s="394"/>
      <c r="C12" s="394"/>
      <c r="D12" s="394"/>
      <c r="E12" s="394"/>
      <c r="F12" s="90"/>
    </row>
    <row r="13" spans="1:6" s="81" customFormat="1" ht="15.75" x14ac:dyDescent="0.25">
      <c r="A13" s="394"/>
      <c r="B13" s="394"/>
      <c r="C13" s="394"/>
      <c r="D13" s="394"/>
      <c r="E13" s="394"/>
      <c r="F13" s="90"/>
    </row>
    <row r="14" spans="1:6" s="81" customFormat="1" ht="15.75" x14ac:dyDescent="0.25">
      <c r="A14" s="394"/>
      <c r="B14" s="394"/>
      <c r="C14" s="394"/>
      <c r="D14" s="394"/>
      <c r="E14" s="394"/>
      <c r="F14" s="90"/>
    </row>
    <row r="15" spans="1:6" ht="15.75" x14ac:dyDescent="0.25">
      <c r="A15" s="394"/>
      <c r="B15" s="394"/>
      <c r="C15" s="394"/>
      <c r="D15" s="394"/>
      <c r="E15" s="394"/>
      <c r="F15" s="208"/>
    </row>
    <row r="16" spans="1:6" ht="15.75" x14ac:dyDescent="0.25">
      <c r="A16" s="394"/>
      <c r="B16" s="394"/>
      <c r="C16" s="394"/>
      <c r="D16" s="394"/>
      <c r="E16" s="394"/>
      <c r="F16" s="208"/>
    </row>
    <row r="17" spans="1:6" ht="15.75" x14ac:dyDescent="0.25">
      <c r="A17" s="394"/>
      <c r="B17" s="394"/>
      <c r="C17" s="394"/>
      <c r="D17" s="394"/>
      <c r="E17" s="394"/>
      <c r="F17" s="208"/>
    </row>
    <row r="20" spans="1:6" ht="58.5" customHeight="1" x14ac:dyDescent="0.25">
      <c r="A20" s="104"/>
      <c r="B20" s="629"/>
      <c r="C20" s="104"/>
      <c r="D20" s="629"/>
      <c r="E20" s="104"/>
    </row>
    <row r="21" spans="1:6" s="10" customFormat="1" ht="15.75" x14ac:dyDescent="0.25">
      <c r="A21" s="274"/>
      <c r="B21" s="274" t="s">
        <v>152</v>
      </c>
      <c r="C21" s="274"/>
      <c r="D21" s="274" t="s">
        <v>180</v>
      </c>
      <c r="E21" s="274"/>
      <c r="F21" s="776"/>
    </row>
    <row r="22" spans="1:6" ht="15.75" x14ac:dyDescent="0.25">
      <c r="A22" s="104"/>
      <c r="B22" s="104"/>
      <c r="C22" s="104"/>
      <c r="D22" s="104"/>
      <c r="E22" s="104"/>
    </row>
    <row r="23" spans="1:6" ht="15.75" x14ac:dyDescent="0.25">
      <c r="A23" s="104"/>
      <c r="B23" s="104"/>
      <c r="C23" s="104"/>
      <c r="D23" s="104"/>
      <c r="E23" s="104"/>
    </row>
    <row r="24" spans="1:6" ht="15.75" x14ac:dyDescent="0.25">
      <c r="A24" s="104"/>
      <c r="B24" s="104"/>
      <c r="C24" s="104"/>
      <c r="D24" s="104"/>
      <c r="E24" s="104"/>
    </row>
    <row r="25" spans="1:6" ht="15.75" x14ac:dyDescent="0.25">
      <c r="A25" s="104"/>
      <c r="B25" s="104"/>
      <c r="C25" s="104"/>
      <c r="D25" s="104"/>
      <c r="E25" s="104"/>
    </row>
    <row r="26" spans="1:6" ht="27.75" customHeight="1" x14ac:dyDescent="0.25">
      <c r="A26" s="104"/>
      <c r="B26" s="104"/>
      <c r="C26" s="104"/>
      <c r="D26" s="104"/>
      <c r="E26" s="104"/>
    </row>
    <row r="27" spans="1:6" ht="15.75" x14ac:dyDescent="0.25">
      <c r="A27" s="104"/>
      <c r="B27" s="629"/>
      <c r="C27" s="104"/>
      <c r="D27" s="629"/>
      <c r="E27" s="104"/>
    </row>
    <row r="28" spans="1:6" s="10" customFormat="1" ht="15.75" x14ac:dyDescent="0.25">
      <c r="A28" s="274"/>
      <c r="B28" s="274" t="s">
        <v>181</v>
      </c>
      <c r="C28" s="274"/>
      <c r="D28" s="274" t="s">
        <v>182</v>
      </c>
      <c r="E28" s="274"/>
      <c r="F28" s="776"/>
    </row>
    <row r="29" spans="1:6" ht="15.75" x14ac:dyDescent="0.25">
      <c r="A29" s="104"/>
      <c r="B29" s="104"/>
      <c r="C29" s="104"/>
      <c r="D29" s="155"/>
      <c r="E29" s="104"/>
    </row>
    <row r="30" spans="1:6" ht="15.75" x14ac:dyDescent="0.25">
      <c r="A30" s="104"/>
      <c r="B30" s="104"/>
      <c r="C30" s="104"/>
      <c r="D30" s="104"/>
      <c r="E30" s="104"/>
    </row>
    <row r="31" spans="1:6" ht="15.75" x14ac:dyDescent="0.25">
      <c r="A31" s="104"/>
      <c r="B31" s="104"/>
      <c r="C31" s="104"/>
      <c r="D31" s="104"/>
      <c r="E31" s="104"/>
    </row>
    <row r="32" spans="1:6" ht="15.75" x14ac:dyDescent="0.25">
      <c r="A32" s="104"/>
      <c r="B32" s="104"/>
      <c r="C32" s="104"/>
      <c r="D32" s="104"/>
      <c r="E32" s="104"/>
    </row>
    <row r="33" spans="1:5" ht="15.75" x14ac:dyDescent="0.25">
      <c r="A33" s="104"/>
      <c r="B33" s="104"/>
      <c r="C33" s="104"/>
      <c r="D33" s="104"/>
      <c r="E33" s="104"/>
    </row>
  </sheetData>
  <mergeCells count="4">
    <mergeCell ref="A8:C8"/>
    <mergeCell ref="D8:E8"/>
    <mergeCell ref="A1:F1"/>
    <mergeCell ref="A3:F3"/>
  </mergeCells>
  <phoneticPr fontId="40" type="noConversion"/>
  <pageMargins left="0.19685039370078741" right="0.35433070866141736" top="0.59055118110236227" bottom="0.59055118110236227" header="0.51181102362204722" footer="0.51181102362204722"/>
  <pageSetup paperSize="9" orientation="portrait" r:id="rId1"/>
  <headerFooter alignWithMargins="0">
    <oddFooter>&amp;C&amp;"David,מודגש"&amp;11עמוד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rightToLeft="1" view="pageLayout" workbookViewId="0">
      <selection activeCell="D12" sqref="D12"/>
    </sheetView>
  </sheetViews>
  <sheetFormatPr defaultColWidth="8" defaultRowHeight="12.75" x14ac:dyDescent="0.2"/>
  <cols>
    <col min="1" max="1" width="5.7109375" style="395" customWidth="1"/>
    <col min="2" max="2" width="0.42578125" style="395" customWidth="1"/>
    <col min="3" max="3" width="40" style="395" customWidth="1"/>
    <col min="4" max="4" width="12" style="395" customWidth="1"/>
    <col min="5" max="5" width="42.7109375" style="395" bestFit="1" customWidth="1"/>
    <col min="6" max="6" width="18.5703125" style="395" customWidth="1"/>
    <col min="7" max="7" width="16.140625" style="395" customWidth="1"/>
    <col min="8" max="16384" width="8" style="395"/>
  </cols>
  <sheetData>
    <row r="1" spans="1:6" s="12" customFormat="1" ht="23.25" x14ac:dyDescent="0.35">
      <c r="A1" s="1311" t="s">
        <v>16</v>
      </c>
      <c r="B1" s="1312"/>
      <c r="C1" s="1312"/>
      <c r="D1" s="1312"/>
      <c r="E1" s="1312"/>
      <c r="F1" s="1313"/>
    </row>
    <row r="3" spans="1:6" ht="18.75" x14ac:dyDescent="0.3">
      <c r="A3" s="1384" t="s">
        <v>212</v>
      </c>
      <c r="B3" s="1385"/>
      <c r="C3" s="1385"/>
      <c r="D3" s="1385"/>
      <c r="E3" s="1385"/>
      <c r="F3" s="1386"/>
    </row>
    <row r="10" spans="1:6" ht="15.75" x14ac:dyDescent="0.25">
      <c r="C10" s="638"/>
      <c r="D10" s="638" t="s">
        <v>213</v>
      </c>
      <c r="E10" s="638" t="s">
        <v>114</v>
      </c>
    </row>
    <row r="11" spans="1:6" ht="15.75" customHeight="1" x14ac:dyDescent="0.25">
      <c r="C11" s="634" t="s">
        <v>214</v>
      </c>
      <c r="D11" s="739" t="s">
        <v>3304</v>
      </c>
      <c r="E11" s="397"/>
    </row>
    <row r="12" spans="1:6" ht="15.75" x14ac:dyDescent="0.25">
      <c r="C12" s="634"/>
      <c r="D12" s="398"/>
      <c r="E12" s="397"/>
    </row>
    <row r="13" spans="1:6" ht="15.75" x14ac:dyDescent="0.25">
      <c r="C13" s="639" t="s">
        <v>215</v>
      </c>
      <c r="D13" s="398"/>
      <c r="E13" s="399"/>
    </row>
    <row r="14" spans="1:6" ht="15.75" x14ac:dyDescent="0.25">
      <c r="C14" s="634"/>
      <c r="D14" s="398"/>
      <c r="E14" s="397"/>
    </row>
    <row r="15" spans="1:6" ht="15.75" x14ac:dyDescent="0.25">
      <c r="C15" s="634" t="s">
        <v>216</v>
      </c>
      <c r="D15" s="398"/>
      <c r="E15" s="399"/>
    </row>
    <row r="16" spans="1:6" ht="15.75" x14ac:dyDescent="0.25">
      <c r="C16" s="634"/>
      <c r="D16" s="397"/>
      <c r="E16" s="397"/>
    </row>
    <row r="18" spans="3:5" x14ac:dyDescent="0.2">
      <c r="C18" s="1387"/>
      <c r="D18" s="1387"/>
      <c r="E18" s="1387"/>
    </row>
    <row r="19" spans="3:5" x14ac:dyDescent="0.2">
      <c r="C19" s="1387"/>
      <c r="D19" s="1387"/>
      <c r="E19" s="1387"/>
    </row>
    <row r="20" spans="3:5" x14ac:dyDescent="0.2">
      <c r="C20" s="1387"/>
      <c r="D20" s="1387"/>
      <c r="E20" s="1387"/>
    </row>
    <row r="32" spans="3:5" ht="15" x14ac:dyDescent="0.25">
      <c r="D32" s="606"/>
    </row>
  </sheetData>
  <mergeCells count="3">
    <mergeCell ref="C18:E20"/>
    <mergeCell ref="A1:F1"/>
    <mergeCell ref="A3:F3"/>
  </mergeCells>
  <phoneticPr fontId="6" type="noConversion"/>
  <pageMargins left="0.19685039370078741" right="0.35433070866141736" top="0.59055118110236227" bottom="0.59055118110236227" header="0.51181102362204722" footer="0.51181102362204722"/>
  <pageSetup paperSize="9" scale="84" orientation="portrait" r:id="rId1"/>
  <headerFooter alignWithMargins="0">
    <oddFooter>&amp;C&amp;"David,מודגש"&amp;11עמוד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rightToLeft="1" view="pageLayout" zoomScaleNormal="75" workbookViewId="0">
      <selection activeCell="Q8" sqref="Q8"/>
    </sheetView>
  </sheetViews>
  <sheetFormatPr defaultColWidth="9.140625" defaultRowHeight="12.75" x14ac:dyDescent="0.2"/>
  <cols>
    <col min="1" max="1" width="0.140625" style="425" customWidth="1"/>
    <col min="2" max="2" width="43.140625" style="425" customWidth="1"/>
    <col min="3" max="4" width="13.42578125" style="425" hidden="1" customWidth="1"/>
    <col min="5" max="9" width="11.7109375" style="425" hidden="1" customWidth="1"/>
    <col min="10" max="10" width="13" style="425" hidden="1" customWidth="1"/>
    <col min="11" max="11" width="13.140625" style="425" hidden="1" customWidth="1"/>
    <col min="12" max="12" width="12.85546875" style="425" hidden="1" customWidth="1"/>
    <col min="13" max="13" width="13.28515625" style="425" hidden="1" customWidth="1"/>
    <col min="14" max="15" width="12.5703125" style="425" customWidth="1"/>
    <col min="16" max="16" width="13.42578125" style="425" customWidth="1"/>
    <col min="17" max="17" width="13.85546875" style="425" customWidth="1"/>
    <col min="18" max="18" width="16.140625" style="425" customWidth="1"/>
    <col min="19" max="19" width="13" style="425" customWidth="1"/>
    <col min="20" max="16384" width="9.140625" style="425"/>
  </cols>
  <sheetData>
    <row r="1" spans="1:19" s="426" customFormat="1" ht="18.75" x14ac:dyDescent="0.3">
      <c r="A1" s="495"/>
      <c r="B1" s="495"/>
      <c r="C1" s="495"/>
      <c r="D1" s="495"/>
      <c r="E1" s="495"/>
      <c r="F1" s="495"/>
      <c r="G1" s="495"/>
      <c r="H1" s="495"/>
      <c r="I1" s="496"/>
      <c r="J1" s="504"/>
      <c r="K1" s="495"/>
      <c r="L1" s="495"/>
      <c r="M1" s="496"/>
      <c r="N1" s="496"/>
      <c r="O1" s="496"/>
      <c r="P1" s="496"/>
      <c r="Q1" s="503" t="s">
        <v>217</v>
      </c>
      <c r="R1" s="496"/>
    </row>
    <row r="2" spans="1:19" s="646" customFormat="1" ht="18.75" x14ac:dyDescent="0.3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</row>
    <row r="3" spans="1:19" s="426" customFormat="1" ht="18.75" x14ac:dyDescent="0.3">
      <c r="A3" s="495"/>
      <c r="B3" s="1392" t="s">
        <v>218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</row>
    <row r="4" spans="1:19" s="423" customFormat="1" ht="16.5" x14ac:dyDescent="0.25">
      <c r="A4" s="499"/>
      <c r="B4" s="499"/>
      <c r="C4" s="499"/>
      <c r="D4" s="499"/>
      <c r="E4" s="499"/>
      <c r="F4" s="499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</row>
    <row r="5" spans="1:19" s="428" customFormat="1" ht="39" customHeight="1" x14ac:dyDescent="0.3">
      <c r="A5" s="498"/>
      <c r="B5" s="641" t="s">
        <v>174</v>
      </c>
      <c r="C5" s="641" t="s">
        <v>219</v>
      </c>
      <c r="D5" s="641" t="s">
        <v>220</v>
      </c>
      <c r="E5" s="641" t="s">
        <v>221</v>
      </c>
      <c r="F5" s="641" t="s">
        <v>222</v>
      </c>
      <c r="G5" s="641" t="s">
        <v>223</v>
      </c>
      <c r="H5" s="641" t="s">
        <v>224</v>
      </c>
      <c r="I5" s="641" t="s">
        <v>223</v>
      </c>
      <c r="J5" s="641" t="s">
        <v>225</v>
      </c>
      <c r="K5" s="641" t="s">
        <v>226</v>
      </c>
      <c r="L5" s="641" t="s">
        <v>108</v>
      </c>
      <c r="M5" s="641" t="s">
        <v>227</v>
      </c>
      <c r="N5" s="641" t="s">
        <v>111</v>
      </c>
      <c r="O5" s="641" t="s">
        <v>3228</v>
      </c>
      <c r="P5" s="641" t="s">
        <v>112</v>
      </c>
      <c r="Q5" s="641" t="s">
        <v>3139</v>
      </c>
      <c r="R5" s="641" t="s">
        <v>228</v>
      </c>
      <c r="S5" s="1153" t="s">
        <v>3296</v>
      </c>
    </row>
    <row r="6" spans="1:19" s="423" customFormat="1" ht="20.100000000000001" customHeight="1" x14ac:dyDescent="0.2">
      <c r="A6" s="499"/>
      <c r="B6" s="1390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155"/>
    </row>
    <row r="7" spans="1:19" s="426" customFormat="1" ht="20.100000000000001" customHeight="1" x14ac:dyDescent="0.3">
      <c r="A7" s="495"/>
      <c r="B7" s="1388" t="s">
        <v>41</v>
      </c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  <c r="O7" s="1389"/>
      <c r="P7" s="1389"/>
      <c r="Q7" s="1389"/>
      <c r="R7" s="1389"/>
      <c r="S7" s="1151"/>
    </row>
    <row r="8" spans="1:19" s="429" customFormat="1" ht="20.100000000000001" customHeight="1" x14ac:dyDescent="0.25">
      <c r="A8" s="500"/>
      <c r="B8" s="647" t="s">
        <v>229</v>
      </c>
      <c r="C8" s="642">
        <v>333</v>
      </c>
      <c r="D8" s="642">
        <v>530</v>
      </c>
      <c r="E8" s="642">
        <v>654</v>
      </c>
      <c r="F8" s="643">
        <v>680</v>
      </c>
      <c r="G8" s="643">
        <v>859</v>
      </c>
      <c r="H8" s="643">
        <v>0</v>
      </c>
      <c r="I8" s="642">
        <v>102.5</v>
      </c>
      <c r="J8" s="650">
        <v>510</v>
      </c>
      <c r="K8" s="650">
        <v>666</v>
      </c>
      <c r="L8" s="650">
        <f>'טבלה 2'!F19</f>
        <v>2886</v>
      </c>
      <c r="M8" s="650">
        <v>588</v>
      </c>
      <c r="N8" s="650">
        <v>730</v>
      </c>
      <c r="O8" s="650">
        <v>724</v>
      </c>
      <c r="P8" s="650">
        <v>166</v>
      </c>
      <c r="Q8" s="650">
        <v>485</v>
      </c>
      <c r="R8" s="650">
        <v>235</v>
      </c>
      <c r="S8" s="1158">
        <v>0</v>
      </c>
    </row>
    <row r="9" spans="1:19" s="429" customFormat="1" ht="20.100000000000001" customHeight="1" x14ac:dyDescent="0.25">
      <c r="A9" s="500"/>
      <c r="B9" s="647" t="s">
        <v>230</v>
      </c>
      <c r="C9" s="643">
        <v>6970</v>
      </c>
      <c r="D9" s="643">
        <v>4759</v>
      </c>
      <c r="E9" s="643">
        <v>1048</v>
      </c>
      <c r="F9" s="643">
        <v>514</v>
      </c>
      <c r="G9" s="643">
        <v>2057</v>
      </c>
      <c r="H9" s="643">
        <v>2001</v>
      </c>
      <c r="I9" s="643">
        <v>2077</v>
      </c>
      <c r="J9" s="650">
        <v>2280</v>
      </c>
      <c r="K9" s="650">
        <v>2286</v>
      </c>
      <c r="L9" s="650">
        <v>2257</v>
      </c>
      <c r="M9" s="650">
        <f>'טבלה 2'!F10</f>
        <v>2179</v>
      </c>
      <c r="N9" s="650">
        <f>'טבלה 2'!H10</f>
        <v>2271</v>
      </c>
      <c r="O9" s="650">
        <f>'טבלה 2'!J10</f>
        <v>2321</v>
      </c>
      <c r="P9" s="650">
        <v>56</v>
      </c>
      <c r="Q9" s="650">
        <v>2043</v>
      </c>
      <c r="R9" s="650">
        <v>2043</v>
      </c>
      <c r="S9" s="1159">
        <v>0</v>
      </c>
    </row>
    <row r="10" spans="1:19" s="427" customFormat="1" ht="20.100000000000001" customHeight="1" x14ac:dyDescent="0.3">
      <c r="A10" s="496"/>
      <c r="B10" s="648" t="s">
        <v>231</v>
      </c>
      <c r="C10" s="644">
        <f t="shared" ref="C10:R10" si="0">SUM(C8:C9)</f>
        <v>7303</v>
      </c>
      <c r="D10" s="644">
        <f t="shared" si="0"/>
        <v>5289</v>
      </c>
      <c r="E10" s="644">
        <f t="shared" si="0"/>
        <v>1702</v>
      </c>
      <c r="F10" s="644">
        <f t="shared" si="0"/>
        <v>1194</v>
      </c>
      <c r="G10" s="644">
        <f t="shared" si="0"/>
        <v>2916</v>
      </c>
      <c r="H10" s="644">
        <f t="shared" si="0"/>
        <v>2001</v>
      </c>
      <c r="I10" s="644">
        <f t="shared" si="0"/>
        <v>2179.5</v>
      </c>
      <c r="J10" s="651">
        <f t="shared" si="0"/>
        <v>2790</v>
      </c>
      <c r="K10" s="651">
        <f t="shared" si="0"/>
        <v>2952</v>
      </c>
      <c r="L10" s="651">
        <f t="shared" si="0"/>
        <v>5143</v>
      </c>
      <c r="M10" s="651">
        <f t="shared" si="0"/>
        <v>2767</v>
      </c>
      <c r="N10" s="651">
        <v>3016</v>
      </c>
      <c r="O10" s="651">
        <f t="shared" si="0"/>
        <v>3045</v>
      </c>
      <c r="P10" s="651">
        <f t="shared" si="0"/>
        <v>222</v>
      </c>
      <c r="Q10" s="651">
        <f t="shared" si="0"/>
        <v>2528</v>
      </c>
      <c r="R10" s="651">
        <f t="shared" si="0"/>
        <v>2278</v>
      </c>
      <c r="S10" s="1160">
        <v>0</v>
      </c>
    </row>
    <row r="11" spans="1:19" s="423" customFormat="1" ht="20.100000000000001" customHeight="1" x14ac:dyDescent="0.2">
      <c r="A11" s="499"/>
      <c r="B11" s="1390"/>
      <c r="C11" s="1391"/>
      <c r="D11" s="1391"/>
      <c r="E11" s="1391"/>
      <c r="F11" s="1391"/>
      <c r="G11" s="1391"/>
      <c r="H11" s="1391"/>
      <c r="I11" s="1391"/>
      <c r="J11" s="1391"/>
      <c r="K11" s="1391"/>
      <c r="L11" s="1391"/>
      <c r="M11" s="1391"/>
      <c r="N11" s="1391"/>
      <c r="O11" s="1391"/>
      <c r="P11" s="1391"/>
      <c r="Q11" s="1391"/>
      <c r="R11" s="1391"/>
      <c r="S11" s="1154"/>
    </row>
    <row r="12" spans="1:19" s="426" customFormat="1" ht="20.100000000000001" customHeight="1" x14ac:dyDescent="0.3">
      <c r="A12" s="495"/>
      <c r="B12" s="1388" t="s">
        <v>20</v>
      </c>
      <c r="C12" s="1389"/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  <c r="O12" s="1389"/>
      <c r="P12" s="1389"/>
      <c r="Q12" s="1389"/>
      <c r="R12" s="1389"/>
      <c r="S12" s="1156"/>
    </row>
    <row r="13" spans="1:19" s="429" customFormat="1" ht="20.100000000000001" customHeight="1" x14ac:dyDescent="0.25">
      <c r="A13" s="500"/>
      <c r="B13" s="647" t="s">
        <v>232</v>
      </c>
      <c r="C13" s="643">
        <v>614</v>
      </c>
      <c r="D13" s="643">
        <v>1820</v>
      </c>
      <c r="E13" s="642">
        <v>200</v>
      </c>
      <c r="F13" s="643">
        <v>116</v>
      </c>
      <c r="G13" s="643">
        <v>150</v>
      </c>
      <c r="H13" s="643">
        <v>0</v>
      </c>
      <c r="I13" s="642">
        <v>-25</v>
      </c>
      <c r="J13" s="650">
        <v>227</v>
      </c>
      <c r="K13" s="650">
        <v>344</v>
      </c>
      <c r="L13" s="650">
        <v>265</v>
      </c>
      <c r="M13" s="650">
        <f>'טבלה 2'!F28</f>
        <v>358</v>
      </c>
      <c r="N13" s="650">
        <f>'טבלה 2'!H28</f>
        <v>200</v>
      </c>
      <c r="O13" s="650">
        <f>'טבלה 2'!J28</f>
        <v>246</v>
      </c>
      <c r="P13" s="650">
        <v>0</v>
      </c>
      <c r="Q13" s="650">
        <v>40</v>
      </c>
      <c r="R13" s="650">
        <v>15</v>
      </c>
      <c r="S13" s="1161">
        <v>0</v>
      </c>
    </row>
    <row r="14" spans="1:19" s="429" customFormat="1" ht="20.100000000000001" customHeight="1" x14ac:dyDescent="0.25">
      <c r="A14" s="500"/>
      <c r="B14" s="647" t="s">
        <v>233</v>
      </c>
      <c r="C14" s="643"/>
      <c r="D14" s="643"/>
      <c r="E14" s="643"/>
      <c r="F14" s="643"/>
      <c r="G14" s="643"/>
      <c r="H14" s="643"/>
      <c r="I14" s="643"/>
      <c r="J14" s="650"/>
      <c r="K14" s="650"/>
      <c r="L14" s="650"/>
      <c r="M14" s="650"/>
      <c r="N14" s="650">
        <v>97</v>
      </c>
      <c r="O14" s="650">
        <v>104</v>
      </c>
      <c r="P14" s="650">
        <v>0</v>
      </c>
      <c r="Q14" s="650">
        <v>0</v>
      </c>
      <c r="R14" s="650">
        <v>0</v>
      </c>
      <c r="S14" s="1159">
        <v>0</v>
      </c>
    </row>
    <row r="15" spans="1:19" s="427" customFormat="1" ht="20.100000000000001" customHeight="1" x14ac:dyDescent="0.3">
      <c r="A15" s="496"/>
      <c r="B15" s="648" t="s">
        <v>234</v>
      </c>
      <c r="C15" s="644">
        <f t="shared" ref="C15:P15" si="1">SUM(C13:C14)</f>
        <v>614</v>
      </c>
      <c r="D15" s="644">
        <f t="shared" si="1"/>
        <v>1820</v>
      </c>
      <c r="E15" s="644">
        <f t="shared" si="1"/>
        <v>200</v>
      </c>
      <c r="F15" s="644">
        <f t="shared" si="1"/>
        <v>116</v>
      </c>
      <c r="G15" s="644">
        <f t="shared" si="1"/>
        <v>150</v>
      </c>
      <c r="H15" s="644">
        <f t="shared" si="1"/>
        <v>0</v>
      </c>
      <c r="I15" s="644">
        <f t="shared" si="1"/>
        <v>-25</v>
      </c>
      <c r="J15" s="651">
        <f t="shared" si="1"/>
        <v>227</v>
      </c>
      <c r="K15" s="651">
        <f t="shared" si="1"/>
        <v>344</v>
      </c>
      <c r="L15" s="651">
        <f t="shared" si="1"/>
        <v>265</v>
      </c>
      <c r="M15" s="651">
        <f t="shared" si="1"/>
        <v>358</v>
      </c>
      <c r="N15" s="651">
        <f t="shared" si="1"/>
        <v>297</v>
      </c>
      <c r="O15" s="651">
        <f t="shared" si="1"/>
        <v>350</v>
      </c>
      <c r="P15" s="651">
        <f t="shared" si="1"/>
        <v>0</v>
      </c>
      <c r="Q15" s="651">
        <f t="shared" ref="Q15" si="2">SUM(Q13:Q14)</f>
        <v>40</v>
      </c>
      <c r="R15" s="651">
        <f t="shared" ref="R15" si="3">SUM(R13:R14)</f>
        <v>15</v>
      </c>
      <c r="S15" s="1162">
        <v>0</v>
      </c>
    </row>
    <row r="16" spans="1:19" s="423" customFormat="1" ht="20.100000000000001" customHeight="1" x14ac:dyDescent="0.2">
      <c r="A16" s="499"/>
      <c r="B16" s="1390"/>
      <c r="C16" s="1391"/>
      <c r="D16" s="1391"/>
      <c r="E16" s="1391"/>
      <c r="F16" s="1391"/>
      <c r="G16" s="1391"/>
      <c r="H16" s="1391"/>
      <c r="I16" s="1391"/>
      <c r="J16" s="1391"/>
      <c r="K16" s="1391"/>
      <c r="L16" s="1391"/>
      <c r="M16" s="1391"/>
      <c r="N16" s="1391"/>
      <c r="O16" s="1391"/>
      <c r="P16" s="1391"/>
      <c r="Q16" s="1391"/>
      <c r="R16" s="1391"/>
      <c r="S16" s="1152"/>
    </row>
    <row r="17" spans="2:19" s="430" customFormat="1" ht="20.100000000000001" customHeight="1" x14ac:dyDescent="0.3">
      <c r="B17" s="649" t="s">
        <v>235</v>
      </c>
      <c r="C17" s="640">
        <f t="shared" ref="C17:K17" si="4">C15-C10</f>
        <v>-6689</v>
      </c>
      <c r="D17" s="640">
        <f t="shared" si="4"/>
        <v>-3469</v>
      </c>
      <c r="E17" s="640">
        <f t="shared" si="4"/>
        <v>-1502</v>
      </c>
      <c r="F17" s="640">
        <f t="shared" si="4"/>
        <v>-1078</v>
      </c>
      <c r="G17" s="640">
        <f t="shared" si="4"/>
        <v>-2766</v>
      </c>
      <c r="H17" s="640">
        <f t="shared" si="4"/>
        <v>-2001</v>
      </c>
      <c r="I17" s="640">
        <f t="shared" si="4"/>
        <v>-2204.5</v>
      </c>
      <c r="J17" s="652">
        <f t="shared" si="4"/>
        <v>-2563</v>
      </c>
      <c r="K17" s="652">
        <f t="shared" si="4"/>
        <v>-2608</v>
      </c>
      <c r="L17" s="652">
        <f t="shared" ref="L17:R17" si="5">L15-L10</f>
        <v>-4878</v>
      </c>
      <c r="M17" s="652">
        <f t="shared" si="5"/>
        <v>-2409</v>
      </c>
      <c r="N17" s="652">
        <f t="shared" si="5"/>
        <v>-2719</v>
      </c>
      <c r="O17" s="652">
        <f t="shared" si="5"/>
        <v>-2695</v>
      </c>
      <c r="P17" s="652">
        <f t="shared" si="5"/>
        <v>-222</v>
      </c>
      <c r="Q17" s="652">
        <f t="shared" si="5"/>
        <v>-2488</v>
      </c>
      <c r="R17" s="652">
        <f t="shared" si="5"/>
        <v>-2263</v>
      </c>
      <c r="S17" s="1157">
        <v>0</v>
      </c>
    </row>
    <row r="18" spans="2:19" s="423" customFormat="1" x14ac:dyDescent="0.2"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</row>
    <row r="19" spans="2:19" s="423" customFormat="1" x14ac:dyDescent="0.2">
      <c r="B19" s="499"/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</row>
    <row r="20" spans="2:19" s="423" customFormat="1" x14ac:dyDescent="0.2"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</row>
    <row r="21" spans="2:19" s="423" customFormat="1" hidden="1" x14ac:dyDescent="0.2"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</row>
    <row r="22" spans="2:19" s="423" customFormat="1" hidden="1" x14ac:dyDescent="0.2"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</row>
    <row r="23" spans="2:19" s="423" customFormat="1" ht="13.5" hidden="1" thickBot="1" x14ac:dyDescent="0.25">
      <c r="B23" s="501"/>
      <c r="C23" s="499"/>
      <c r="D23" s="502"/>
      <c r="E23" s="501"/>
      <c r="F23" s="499"/>
      <c r="G23" s="502"/>
      <c r="H23" s="501"/>
      <c r="I23" s="499"/>
      <c r="J23" s="499"/>
      <c r="K23" s="499"/>
      <c r="L23" s="499"/>
      <c r="M23" s="499"/>
      <c r="N23" s="499"/>
      <c r="O23" s="499"/>
      <c r="P23" s="499"/>
      <c r="Q23" s="499"/>
      <c r="R23" s="499"/>
    </row>
    <row r="24" spans="2:19" s="424" customFormat="1" ht="15.75" hidden="1" x14ac:dyDescent="0.25">
      <c r="B24" s="503" t="s">
        <v>236</v>
      </c>
      <c r="C24" s="503"/>
      <c r="D24" s="503"/>
      <c r="E24" s="503" t="s">
        <v>157</v>
      </c>
      <c r="F24" s="504"/>
      <c r="G24" s="503"/>
      <c r="H24" s="503" t="s">
        <v>157</v>
      </c>
      <c r="I24" s="504"/>
      <c r="J24" s="504"/>
      <c r="K24" s="504"/>
      <c r="L24" s="504"/>
      <c r="M24" s="504"/>
      <c r="N24" s="504"/>
      <c r="O24" s="504"/>
      <c r="P24" s="504"/>
      <c r="Q24" s="504"/>
      <c r="R24" s="504"/>
    </row>
    <row r="25" spans="2:19" s="423" customFormat="1" hidden="1" x14ac:dyDescent="0.2"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</row>
    <row r="26" spans="2:19" s="423" customFormat="1" ht="15" hidden="1" x14ac:dyDescent="0.25">
      <c r="B26" s="499"/>
      <c r="C26" s="499"/>
      <c r="D26" s="605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</row>
    <row r="27" spans="2:19" s="423" customFormat="1" hidden="1" x14ac:dyDescent="0.2"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</row>
    <row r="28" spans="2:19" s="423" customFormat="1" hidden="1" x14ac:dyDescent="0.2"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</row>
    <row r="29" spans="2:19" s="423" customFormat="1" hidden="1" x14ac:dyDescent="0.2"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</row>
    <row r="30" spans="2:19" s="423" customFormat="1" hidden="1" x14ac:dyDescent="0.2"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</row>
    <row r="31" spans="2:19" s="423" customFormat="1" hidden="1" x14ac:dyDescent="0.2"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</row>
    <row r="32" spans="2:19" s="423" customFormat="1" x14ac:dyDescent="0.2"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</row>
    <row r="33" s="423" customFormat="1" x14ac:dyDescent="0.2"/>
    <row r="34" s="423" customFormat="1" x14ac:dyDescent="0.2"/>
    <row r="35" s="423" customFormat="1" x14ac:dyDescent="0.2"/>
    <row r="36" s="423" customFormat="1" x14ac:dyDescent="0.2"/>
    <row r="37" s="423" customFormat="1" x14ac:dyDescent="0.2"/>
    <row r="38" s="423" customFormat="1" x14ac:dyDescent="0.2"/>
    <row r="39" s="423" customFormat="1" x14ac:dyDescent="0.2"/>
    <row r="40" s="423" customFormat="1" x14ac:dyDescent="0.2"/>
    <row r="41" s="423" customFormat="1" x14ac:dyDescent="0.2"/>
    <row r="42" s="423" customFormat="1" x14ac:dyDescent="0.2"/>
  </sheetData>
  <mergeCells count="6">
    <mergeCell ref="B12:R12"/>
    <mergeCell ref="B6:R6"/>
    <mergeCell ref="B11:R11"/>
    <mergeCell ref="B16:R16"/>
    <mergeCell ref="B3:R3"/>
    <mergeCell ref="B7:R7"/>
  </mergeCells>
  <pageMargins left="0.19685039370078741" right="0.35433070866141736" top="0.59055118110236227" bottom="0.59055118110236227" header="0.51181102362204722" footer="0.51181102362204722"/>
  <pageSetup paperSize="9" orientation="landscape" r:id="rId1"/>
  <headerFooter alignWithMargins="0">
    <oddFooter>&amp;C&amp;"David,מודגש"&amp;11עמוד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3"/>
  <sheetViews>
    <sheetView showGridLines="0" rightToLeft="1" view="pageLayout" workbookViewId="0">
      <selection activeCell="B14" sqref="B14"/>
    </sheetView>
  </sheetViews>
  <sheetFormatPr defaultRowHeight="12.75" x14ac:dyDescent="0.2"/>
  <sheetData>
    <row r="6" spans="1:9" ht="42.75" customHeight="1" x14ac:dyDescent="0.2"/>
    <row r="8" spans="1:9" ht="32.25" customHeight="1" x14ac:dyDescent="0.2"/>
    <row r="9" spans="1:9" ht="44.25" customHeight="1" x14ac:dyDescent="0.2"/>
    <row r="11" spans="1:9" ht="60.75" x14ac:dyDescent="0.85">
      <c r="A11" s="1360" t="s">
        <v>148</v>
      </c>
      <c r="B11" s="1360"/>
      <c r="C11" s="1360"/>
      <c r="D11" s="1360"/>
      <c r="E11" s="1360"/>
      <c r="F11" s="1360"/>
      <c r="G11" s="1360"/>
      <c r="H11" s="1360"/>
      <c r="I11" s="1360"/>
    </row>
    <row r="12" spans="1:9" ht="106.5" x14ac:dyDescent="1.45">
      <c r="A12" s="1361" t="s">
        <v>149</v>
      </c>
      <c r="B12" s="1361"/>
      <c r="C12" s="1361"/>
      <c r="D12" s="1361"/>
      <c r="E12" s="1361"/>
      <c r="F12" s="1361"/>
      <c r="G12" s="1361"/>
      <c r="H12" s="1361"/>
      <c r="I12" s="1361"/>
    </row>
    <row r="13" spans="1:9" ht="60.75" x14ac:dyDescent="0.85">
      <c r="A13" s="1360" t="s">
        <v>148</v>
      </c>
      <c r="B13" s="1360"/>
      <c r="C13" s="1360"/>
      <c r="D13" s="1360"/>
      <c r="E13" s="1360"/>
      <c r="F13" s="1360"/>
      <c r="G13" s="1360"/>
      <c r="H13" s="1360"/>
      <c r="I13" s="1360"/>
    </row>
  </sheetData>
  <mergeCells count="3">
    <mergeCell ref="A12:I12"/>
    <mergeCell ref="A11:I11"/>
    <mergeCell ref="A13:I13"/>
  </mergeCells>
  <phoneticPr fontId="0" type="noConversion"/>
  <pageMargins left="0.75" right="0.75" top="1" bottom="1" header="0.5" footer="0.5"/>
  <pageSetup paperSize="9" orientation="portrait" r:id="rId1"/>
  <headerFooter alignWithMargins="0">
    <oddFooter>עמוד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L285"/>
  <sheetViews>
    <sheetView showGridLines="0" rightToLeft="1" view="pageLayout" topLeftCell="A28" workbookViewId="0">
      <selection activeCell="B13" sqref="B13:K14"/>
    </sheetView>
  </sheetViews>
  <sheetFormatPr defaultColWidth="9.140625" defaultRowHeight="12.75" x14ac:dyDescent="0.2"/>
  <cols>
    <col min="1" max="1" width="8.85546875" style="12" customWidth="1"/>
    <col min="2" max="2" width="3.28515625" style="12" customWidth="1"/>
    <col min="3" max="6" width="9.140625" style="12"/>
    <col min="7" max="7" width="10.28515625" style="12" customWidth="1"/>
    <col min="8" max="8" width="9.140625" style="12"/>
    <col min="9" max="9" width="10.140625" style="12" customWidth="1"/>
    <col min="10" max="10" width="10.7109375" style="12" customWidth="1"/>
    <col min="11" max="11" width="10.140625" style="12" bestFit="1" customWidth="1"/>
    <col min="12" max="12" width="9.140625" style="12" hidden="1" customWidth="1"/>
    <col min="13" max="16384" width="9.140625" style="12"/>
  </cols>
  <sheetData>
    <row r="1" spans="1:11" ht="27.75" customHeight="1" x14ac:dyDescent="0.2"/>
    <row r="2" spans="1:11" ht="12.75" customHeight="1" x14ac:dyDescent="0.25">
      <c r="A2" s="769"/>
      <c r="B2" s="769"/>
    </row>
    <row r="3" spans="1:11" ht="31.5" customHeight="1" x14ac:dyDescent="0.25">
      <c r="A3" s="14"/>
      <c r="B3" s="14"/>
    </row>
    <row r="4" spans="1:11" ht="31.5" customHeight="1" x14ac:dyDescent="0.25">
      <c r="A4" s="14"/>
      <c r="B4" s="14"/>
    </row>
    <row r="5" spans="1:11" ht="16.5" x14ac:dyDescent="0.25">
      <c r="A5" s="769"/>
      <c r="B5" s="769"/>
    </row>
    <row r="6" spans="1:11" ht="16.5" x14ac:dyDescent="0.25">
      <c r="A6" s="769"/>
      <c r="B6" s="769"/>
    </row>
    <row r="7" spans="1:11" ht="26.25" x14ac:dyDescent="0.4">
      <c r="A7" s="1393" t="s">
        <v>237</v>
      </c>
      <c r="B7" s="1393"/>
      <c r="C7" s="1393"/>
      <c r="D7" s="1393"/>
      <c r="E7" s="1393"/>
    </row>
    <row r="8" spans="1:11" ht="16.5" x14ac:dyDescent="0.25">
      <c r="A8" s="19"/>
      <c r="B8" s="19"/>
    </row>
    <row r="9" spans="1:11" ht="20.25" x14ac:dyDescent="0.3">
      <c r="A9" s="20" t="s">
        <v>238</v>
      </c>
      <c r="B9" s="1394" t="s">
        <v>239</v>
      </c>
      <c r="C9" s="1395"/>
      <c r="D9" s="1395"/>
      <c r="E9" s="1395"/>
      <c r="F9" s="1395"/>
      <c r="G9" s="1395"/>
      <c r="H9" s="1395"/>
      <c r="I9" s="1395"/>
      <c r="J9" s="1395"/>
      <c r="K9" s="1395"/>
    </row>
    <row r="10" spans="1:11" ht="20.25" x14ac:dyDescent="0.3">
      <c r="A10" s="21"/>
      <c r="B10" s="1395"/>
      <c r="C10" s="1395"/>
      <c r="D10" s="1395"/>
      <c r="E10" s="1395"/>
      <c r="F10" s="1395"/>
      <c r="G10" s="1395"/>
      <c r="H10" s="1395"/>
      <c r="I10" s="1395"/>
      <c r="J10" s="1395"/>
      <c r="K10" s="1395"/>
    </row>
    <row r="11" spans="1:11" ht="20.25" x14ac:dyDescent="0.3">
      <c r="A11" s="20" t="s">
        <v>238</v>
      </c>
      <c r="B11" s="1394" t="s">
        <v>240</v>
      </c>
      <c r="C11" s="1395"/>
      <c r="D11" s="1395"/>
      <c r="E11" s="1395"/>
      <c r="F11" s="1395"/>
      <c r="G11" s="1395"/>
      <c r="H11" s="1395"/>
      <c r="I11" s="1395"/>
      <c r="J11" s="1395"/>
      <c r="K11" s="1395"/>
    </row>
    <row r="12" spans="1:11" ht="20.25" x14ac:dyDescent="0.3">
      <c r="A12" s="21"/>
      <c r="B12" s="1395"/>
      <c r="C12" s="1395"/>
      <c r="D12" s="1395"/>
      <c r="E12" s="1395"/>
      <c r="F12" s="1395"/>
      <c r="G12" s="1395"/>
      <c r="H12" s="1395"/>
      <c r="I12" s="1395"/>
      <c r="J12" s="1395"/>
      <c r="K12" s="1395"/>
    </row>
    <row r="13" spans="1:11" ht="20.25" x14ac:dyDescent="0.3">
      <c r="A13" s="20" t="s">
        <v>238</v>
      </c>
      <c r="B13" s="1394" t="s">
        <v>241</v>
      </c>
      <c r="C13" s="1395"/>
      <c r="D13" s="1395"/>
      <c r="E13" s="1395"/>
      <c r="F13" s="1395"/>
      <c r="G13" s="1395"/>
      <c r="H13" s="1395"/>
      <c r="I13" s="1395"/>
      <c r="J13" s="1395"/>
      <c r="K13" s="1395"/>
    </row>
    <row r="14" spans="1:11" ht="20.25" x14ac:dyDescent="0.3">
      <c r="A14" s="22"/>
      <c r="B14" s="1395"/>
      <c r="C14" s="1395"/>
      <c r="D14" s="1395"/>
      <c r="E14" s="1395"/>
      <c r="F14" s="1395"/>
      <c r="G14" s="1395"/>
      <c r="H14" s="1395"/>
      <c r="I14" s="1395"/>
      <c r="J14" s="1395"/>
      <c r="K14" s="1395"/>
    </row>
    <row r="15" spans="1:11" ht="21" customHeight="1" x14ac:dyDescent="0.3">
      <c r="A15" s="20" t="s">
        <v>238</v>
      </c>
      <c r="B15" s="1394" t="s">
        <v>242</v>
      </c>
      <c r="C15" s="1394"/>
      <c r="D15" s="1394"/>
      <c r="E15" s="1394"/>
      <c r="F15" s="1394"/>
      <c r="G15" s="1394"/>
      <c r="H15" s="1394"/>
      <c r="I15" s="1394"/>
      <c r="J15" s="1394"/>
      <c r="K15" s="1394"/>
    </row>
    <row r="16" spans="1:11" ht="16.5" customHeight="1" x14ac:dyDescent="0.3">
      <c r="A16" s="22"/>
      <c r="B16" s="1394"/>
      <c r="C16" s="1394"/>
      <c r="D16" s="1394"/>
      <c r="E16" s="1394"/>
      <c r="F16" s="1394"/>
      <c r="G16" s="1394"/>
      <c r="H16" s="1394"/>
      <c r="I16" s="1394"/>
      <c r="J16" s="1394"/>
      <c r="K16" s="1394"/>
    </row>
    <row r="17" spans="1:11" ht="20.25" customHeight="1" x14ac:dyDescent="0.3">
      <c r="A17" s="20" t="s">
        <v>238</v>
      </c>
      <c r="B17" s="1394" t="s">
        <v>243</v>
      </c>
      <c r="C17" s="1394"/>
      <c r="D17" s="1394"/>
      <c r="E17" s="1394"/>
      <c r="F17" s="1394"/>
      <c r="G17" s="1394"/>
      <c r="H17" s="1394"/>
      <c r="I17" s="1394"/>
      <c r="J17" s="1394"/>
      <c r="K17" s="1394"/>
    </row>
    <row r="18" spans="1:11" ht="16.5" customHeight="1" x14ac:dyDescent="0.3">
      <c r="A18" s="22"/>
      <c r="B18" s="1394"/>
      <c r="C18" s="1394"/>
      <c r="D18" s="1394"/>
      <c r="E18" s="1394"/>
      <c r="F18" s="1394"/>
      <c r="G18" s="1394"/>
      <c r="H18" s="1394"/>
      <c r="I18" s="1394"/>
      <c r="J18" s="1394"/>
      <c r="K18" s="1394"/>
    </row>
    <row r="19" spans="1:11" ht="20.25" customHeight="1" x14ac:dyDescent="0.3">
      <c r="A19" s="20" t="s">
        <v>238</v>
      </c>
      <c r="B19" s="1409" t="s">
        <v>244</v>
      </c>
      <c r="C19" s="1409"/>
      <c r="D19" s="1409"/>
      <c r="E19" s="1409"/>
      <c r="F19" s="1409"/>
      <c r="G19" s="1409"/>
      <c r="H19" s="1409"/>
      <c r="I19" s="1409"/>
      <c r="J19" s="1409"/>
      <c r="K19" s="1409"/>
    </row>
    <row r="20" spans="1:11" ht="20.25" x14ac:dyDescent="0.3">
      <c r="A20" s="20" t="s">
        <v>238</v>
      </c>
      <c r="B20" s="1394" t="s">
        <v>245</v>
      </c>
      <c r="C20" s="1394"/>
      <c r="D20" s="1394"/>
      <c r="E20" s="1394"/>
      <c r="F20" s="1394"/>
      <c r="G20" s="1394"/>
      <c r="H20" s="1394"/>
      <c r="I20" s="1394"/>
      <c r="J20" s="1394"/>
      <c r="K20" s="1394"/>
    </row>
    <row r="21" spans="1:11" ht="20.25" customHeight="1" x14ac:dyDescent="0.3">
      <c r="A21" s="22"/>
      <c r="B21" s="1394"/>
      <c r="C21" s="1394"/>
      <c r="D21" s="1394"/>
      <c r="E21" s="1394"/>
      <c r="F21" s="1394"/>
      <c r="G21" s="1394"/>
      <c r="H21" s="1394"/>
      <c r="I21" s="1394"/>
      <c r="J21" s="1394"/>
      <c r="K21" s="1394"/>
    </row>
    <row r="22" spans="1:11" ht="20.25" x14ac:dyDescent="0.3">
      <c r="A22" s="22"/>
      <c r="B22" s="1394"/>
      <c r="C22" s="1394"/>
      <c r="D22" s="1394"/>
      <c r="E22" s="1394"/>
      <c r="F22" s="1394"/>
      <c r="G22" s="1394"/>
      <c r="H22" s="1394"/>
      <c r="I22" s="1394"/>
      <c r="J22" s="1394"/>
      <c r="K22" s="1394"/>
    </row>
    <row r="23" spans="1:11" ht="20.25" customHeight="1" x14ac:dyDescent="0.3">
      <c r="A23" s="20" t="s">
        <v>238</v>
      </c>
      <c r="B23" s="1394" t="s">
        <v>246</v>
      </c>
      <c r="C23" s="1394"/>
      <c r="D23" s="1394"/>
      <c r="E23" s="1394"/>
      <c r="F23" s="1394"/>
      <c r="G23" s="1394"/>
      <c r="H23" s="1394"/>
      <c r="I23" s="1394"/>
      <c r="J23" s="1394"/>
      <c r="K23" s="1394"/>
    </row>
    <row r="24" spans="1:11" ht="20.25" customHeight="1" x14ac:dyDescent="0.3">
      <c r="A24" s="20"/>
      <c r="B24" s="1394"/>
      <c r="C24" s="1394"/>
      <c r="D24" s="1394"/>
      <c r="E24" s="1394"/>
      <c r="F24" s="1394"/>
      <c r="G24" s="1394"/>
      <c r="H24" s="1394"/>
      <c r="I24" s="1394"/>
      <c r="J24" s="1394"/>
      <c r="K24" s="1394"/>
    </row>
    <row r="25" spans="1:11" ht="20.25" x14ac:dyDescent="0.3">
      <c r="A25" s="20" t="s">
        <v>238</v>
      </c>
      <c r="B25" s="1394" t="s">
        <v>247</v>
      </c>
      <c r="C25" s="1394"/>
      <c r="D25" s="1394"/>
      <c r="E25" s="1394"/>
      <c r="F25" s="1394"/>
      <c r="G25" s="1394"/>
      <c r="H25" s="1394"/>
      <c r="I25" s="1394"/>
      <c r="J25" s="1394"/>
      <c r="K25" s="1394"/>
    </row>
    <row r="26" spans="1:11" ht="20.25" x14ac:dyDescent="0.3">
      <c r="A26" s="22"/>
      <c r="B26" s="1394"/>
      <c r="C26" s="1394"/>
      <c r="D26" s="1394"/>
      <c r="E26" s="1394"/>
      <c r="F26" s="1394"/>
      <c r="G26" s="1394"/>
      <c r="H26" s="1394"/>
      <c r="I26" s="1394"/>
      <c r="J26" s="1394"/>
      <c r="K26" s="1394"/>
    </row>
    <row r="27" spans="1:11" ht="20.25" customHeight="1" x14ac:dyDescent="0.3">
      <c r="A27" s="22"/>
      <c r="B27" s="1394"/>
      <c r="C27" s="1394"/>
      <c r="D27" s="1394"/>
      <c r="E27" s="1394"/>
      <c r="F27" s="1394"/>
      <c r="G27" s="1394"/>
      <c r="H27" s="1394"/>
      <c r="I27" s="1394"/>
      <c r="J27" s="1394"/>
      <c r="K27" s="1394"/>
    </row>
    <row r="28" spans="1:11" ht="16.5" customHeight="1" x14ac:dyDescent="0.3">
      <c r="A28" s="20" t="s">
        <v>238</v>
      </c>
      <c r="B28" s="18" t="s">
        <v>248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27" customHeight="1" x14ac:dyDescent="0.3">
      <c r="A29" s="20" t="s">
        <v>238</v>
      </c>
      <c r="B29" s="1394" t="s">
        <v>249</v>
      </c>
      <c r="C29" s="1394"/>
      <c r="D29" s="1394"/>
      <c r="E29" s="1394"/>
      <c r="F29" s="1394"/>
      <c r="G29" s="1394"/>
      <c r="H29" s="1394"/>
      <c r="I29" s="1394"/>
      <c r="J29" s="1394"/>
      <c r="K29" s="1394"/>
    </row>
    <row r="30" spans="1:11" ht="20.25" x14ac:dyDescent="0.3">
      <c r="A30" s="22"/>
      <c r="B30" s="1394"/>
      <c r="C30" s="1394"/>
      <c r="D30" s="1394"/>
      <c r="E30" s="1394"/>
      <c r="F30" s="1394"/>
      <c r="G30" s="1394"/>
      <c r="H30" s="1394"/>
      <c r="I30" s="1394"/>
      <c r="J30" s="1394"/>
      <c r="K30" s="1394"/>
    </row>
    <row r="31" spans="1:11" ht="20.25" x14ac:dyDescent="0.3">
      <c r="A31" s="20" t="s">
        <v>238</v>
      </c>
      <c r="B31" s="1394" t="s">
        <v>250</v>
      </c>
      <c r="C31" s="1394"/>
      <c r="D31" s="1394"/>
      <c r="E31" s="1394"/>
      <c r="F31" s="1394"/>
      <c r="G31" s="1394"/>
      <c r="H31" s="1394"/>
      <c r="I31" s="1394"/>
      <c r="J31" s="1394"/>
      <c r="K31" s="1394"/>
    </row>
    <row r="32" spans="1:11" ht="20.25" customHeight="1" x14ac:dyDescent="0.3">
      <c r="A32" s="22"/>
      <c r="B32" s="1394"/>
      <c r="C32" s="1394"/>
      <c r="D32" s="1394"/>
      <c r="E32" s="1394"/>
      <c r="F32" s="1394"/>
      <c r="G32" s="1394"/>
      <c r="H32" s="1394"/>
      <c r="I32" s="1394"/>
      <c r="J32" s="1394"/>
      <c r="K32" s="1394"/>
    </row>
    <row r="33" spans="1:11" ht="20.25" customHeight="1" x14ac:dyDescent="0.25">
      <c r="A33" s="23"/>
      <c r="B33" s="23"/>
    </row>
    <row r="34" spans="1:11" ht="17.25" customHeight="1" x14ac:dyDescent="0.25">
      <c r="A34" s="23"/>
      <c r="B34" s="23"/>
    </row>
    <row r="35" spans="1:11" ht="20.25" customHeight="1" x14ac:dyDescent="0.25">
      <c r="A35" s="23" t="s">
        <v>251</v>
      </c>
      <c r="B35" s="23"/>
    </row>
    <row r="36" spans="1:11" ht="20.25" x14ac:dyDescent="0.3">
      <c r="A36" s="24"/>
      <c r="B36" s="24"/>
    </row>
    <row r="37" spans="1:11" ht="20.25" x14ac:dyDescent="0.3">
      <c r="A37" s="1411" t="s">
        <v>252</v>
      </c>
      <c r="B37" s="1411"/>
      <c r="C37" s="1411"/>
    </row>
    <row r="38" spans="1:11" ht="16.5" x14ac:dyDescent="0.25">
      <c r="A38" s="25"/>
      <c r="B38" s="25"/>
    </row>
    <row r="39" spans="1:11" ht="16.5" x14ac:dyDescent="0.25">
      <c r="A39" s="26"/>
      <c r="B39" s="1399" t="s">
        <v>253</v>
      </c>
      <c r="C39" s="1400"/>
      <c r="D39" s="1400"/>
      <c r="E39" s="1400"/>
      <c r="F39" s="1400"/>
      <c r="G39" s="1400"/>
      <c r="H39" s="1400"/>
      <c r="I39" s="1400"/>
      <c r="J39" s="1400"/>
      <c r="K39" s="1401"/>
    </row>
    <row r="40" spans="1:11" ht="16.5" x14ac:dyDescent="0.25">
      <c r="A40" s="771"/>
      <c r="B40" s="1399" t="s">
        <v>254</v>
      </c>
      <c r="C40" s="1400"/>
      <c r="D40" s="1401"/>
      <c r="E40" s="27">
        <v>2010</v>
      </c>
      <c r="F40" s="28"/>
      <c r="G40" s="27">
        <v>2011</v>
      </c>
      <c r="H40" s="28"/>
      <c r="I40" s="27">
        <v>2012</v>
      </c>
      <c r="J40" s="27"/>
      <c r="K40" s="27">
        <v>2013</v>
      </c>
    </row>
    <row r="41" spans="1:11" ht="16.5" x14ac:dyDescent="0.25">
      <c r="A41" s="772"/>
      <c r="B41" s="29"/>
      <c r="C41" s="30"/>
      <c r="D41" s="31"/>
      <c r="E41" s="770"/>
      <c r="F41" s="32"/>
      <c r="G41" s="770"/>
      <c r="H41" s="32"/>
      <c r="I41" s="770"/>
      <c r="J41" s="770"/>
      <c r="K41" s="770"/>
    </row>
    <row r="42" spans="1:11" ht="16.5" x14ac:dyDescent="0.25">
      <c r="A42" s="18"/>
      <c r="B42" s="1402" t="s">
        <v>255</v>
      </c>
      <c r="C42" s="1403"/>
      <c r="D42" s="1404"/>
      <c r="E42" s="33">
        <v>11798</v>
      </c>
      <c r="F42" s="33"/>
      <c r="G42" s="33">
        <v>12000</v>
      </c>
      <c r="H42" s="33"/>
      <c r="I42" s="33">
        <v>13000</v>
      </c>
      <c r="J42" s="33"/>
      <c r="K42" s="33">
        <v>14000</v>
      </c>
    </row>
    <row r="43" spans="1:11" ht="16.5" x14ac:dyDescent="0.25">
      <c r="A43" s="18"/>
      <c r="B43" s="1402" t="s">
        <v>256</v>
      </c>
      <c r="C43" s="1403"/>
      <c r="D43" s="1404"/>
      <c r="E43" s="33">
        <v>-2581</v>
      </c>
      <c r="F43" s="33"/>
      <c r="G43" s="33">
        <v>-3500</v>
      </c>
      <c r="H43" s="33"/>
      <c r="I43" s="33">
        <v>-3500</v>
      </c>
      <c r="J43" s="33"/>
      <c r="K43" s="33">
        <v>-3500</v>
      </c>
    </row>
    <row r="44" spans="1:11" ht="16.5" x14ac:dyDescent="0.25">
      <c r="A44" s="18"/>
      <c r="B44" s="1402" t="s">
        <v>257</v>
      </c>
      <c r="C44" s="1403"/>
      <c r="D44" s="1404"/>
      <c r="E44" s="33">
        <v>785</v>
      </c>
      <c r="F44" s="33"/>
      <c r="G44" s="33"/>
      <c r="H44" s="33"/>
      <c r="I44" s="33"/>
      <c r="J44" s="33"/>
      <c r="K44" s="33"/>
    </row>
    <row r="45" spans="1:11" s="10" customFormat="1" ht="16.5" x14ac:dyDescent="0.25">
      <c r="A45" s="34"/>
      <c r="B45" s="1406" t="s">
        <v>258</v>
      </c>
      <c r="C45" s="1407"/>
      <c r="D45" s="1408"/>
      <c r="E45" s="35">
        <f>SUM(E42:E44)</f>
        <v>10002</v>
      </c>
      <c r="F45" s="35"/>
      <c r="G45" s="35">
        <f>SUM(G42:G44)</f>
        <v>8500</v>
      </c>
      <c r="H45" s="35"/>
      <c r="I45" s="35">
        <f>SUM(I42:I44)</f>
        <v>9500</v>
      </c>
      <c r="J45" s="35"/>
      <c r="K45" s="35">
        <f>SUM(K42:K44)</f>
        <v>10500</v>
      </c>
    </row>
    <row r="46" spans="1:11" s="1" customFormat="1" ht="16.5" x14ac:dyDescent="0.25">
      <c r="A46" s="23"/>
      <c r="B46" s="1402"/>
      <c r="C46" s="1403"/>
      <c r="D46" s="1404"/>
      <c r="E46" s="37"/>
      <c r="F46" s="37"/>
      <c r="G46" s="37"/>
      <c r="H46" s="37"/>
      <c r="I46" s="37"/>
      <c r="J46" s="37"/>
      <c r="K46" s="37"/>
    </row>
    <row r="47" spans="1:11" s="17" customFormat="1" ht="16.5" x14ac:dyDescent="0.25">
      <c r="A47" s="23"/>
      <c r="B47" s="1396" t="s">
        <v>259</v>
      </c>
      <c r="C47" s="1397"/>
      <c r="D47" s="1398"/>
      <c r="E47" s="38">
        <v>4978</v>
      </c>
      <c r="F47" s="37"/>
      <c r="G47" s="38">
        <v>5652</v>
      </c>
      <c r="H47" s="37"/>
      <c r="I47" s="38">
        <v>7000</v>
      </c>
      <c r="J47" s="37"/>
      <c r="K47" s="38">
        <v>8000</v>
      </c>
    </row>
    <row r="48" spans="1:11" s="17" customFormat="1" ht="16.5" x14ac:dyDescent="0.25">
      <c r="A48" s="23"/>
      <c r="B48" s="1402"/>
      <c r="C48" s="1403"/>
      <c r="D48" s="1404"/>
      <c r="E48" s="40"/>
      <c r="F48" s="39"/>
      <c r="G48" s="40"/>
      <c r="H48" s="39"/>
      <c r="I48" s="40"/>
      <c r="J48" s="39"/>
      <c r="K48" s="40"/>
    </row>
    <row r="49" spans="1:11" s="36" customFormat="1" ht="16.5" x14ac:dyDescent="0.25">
      <c r="A49" s="34"/>
      <c r="B49" s="1406" t="s">
        <v>260</v>
      </c>
      <c r="C49" s="1407"/>
      <c r="D49" s="1408"/>
      <c r="E49" s="41">
        <f>E47/E45</f>
        <v>0.49770045990801842</v>
      </c>
      <c r="F49" s="41"/>
      <c r="G49" s="41">
        <f>G47/G45</f>
        <v>0.66494117647058826</v>
      </c>
      <c r="H49" s="41"/>
      <c r="I49" s="41">
        <f>I47/I45</f>
        <v>0.73684210526315785</v>
      </c>
      <c r="J49" s="41"/>
      <c r="K49" s="41">
        <f>K47/K45</f>
        <v>0.76190476190476186</v>
      </c>
    </row>
    <row r="50" spans="1:11" s="17" customFormat="1" ht="16.5" x14ac:dyDescent="0.25">
      <c r="A50" s="23"/>
      <c r="B50" s="1402"/>
      <c r="C50" s="1403"/>
      <c r="D50" s="1404"/>
      <c r="E50" s="39"/>
      <c r="F50" s="39"/>
      <c r="G50" s="39"/>
      <c r="H50" s="39"/>
      <c r="I50" s="39"/>
      <c r="J50" s="39"/>
      <c r="K50" s="39"/>
    </row>
    <row r="51" spans="1:11" s="17" customFormat="1" ht="16.5" x14ac:dyDescent="0.25">
      <c r="A51" s="23"/>
      <c r="B51" s="1405" t="s">
        <v>261</v>
      </c>
      <c r="C51" s="1405"/>
      <c r="D51" s="1405"/>
      <c r="E51" s="42">
        <f>E45-E47</f>
        <v>5024</v>
      </c>
      <c r="F51" s="39"/>
      <c r="G51" s="42">
        <f>G45-G47</f>
        <v>2848</v>
      </c>
      <c r="H51" s="42"/>
      <c r="I51" s="42">
        <f>I45-I47</f>
        <v>2500</v>
      </c>
      <c r="J51" s="42"/>
      <c r="K51" s="42">
        <f>K45-K47</f>
        <v>2500</v>
      </c>
    </row>
    <row r="52" spans="1:11" s="17" customFormat="1" ht="16.5" x14ac:dyDescent="0.25">
      <c r="A52" s="23"/>
      <c r="B52" s="43"/>
      <c r="C52" s="44"/>
      <c r="D52" s="44"/>
      <c r="E52" s="45"/>
      <c r="F52" s="45"/>
      <c r="G52" s="46"/>
      <c r="H52" s="46"/>
      <c r="I52" s="46"/>
      <c r="J52" s="46"/>
      <c r="K52" s="46"/>
    </row>
    <row r="53" spans="1:11" s="36" customFormat="1" ht="16.5" x14ac:dyDescent="0.25">
      <c r="A53" s="34"/>
      <c r="B53" s="1406" t="s">
        <v>262</v>
      </c>
      <c r="C53" s="1407"/>
      <c r="D53" s="1407"/>
      <c r="E53" s="1407"/>
      <c r="F53" s="1407"/>
      <c r="G53" s="1407"/>
      <c r="H53" s="1407"/>
      <c r="I53" s="1407"/>
      <c r="J53" s="1407"/>
      <c r="K53" s="1408"/>
    </row>
    <row r="54" spans="1:11" s="17" customFormat="1" ht="16.5" x14ac:dyDescent="0.25">
      <c r="A54" s="23"/>
      <c r="B54" s="1396" t="s">
        <v>263</v>
      </c>
      <c r="C54" s="1397"/>
      <c r="D54" s="1398"/>
      <c r="E54" s="42">
        <v>31110</v>
      </c>
      <c r="F54" s="39"/>
      <c r="G54" s="42">
        <f>E62</f>
        <v>35812</v>
      </c>
      <c r="H54" s="42"/>
      <c r="I54" s="42">
        <f>G62</f>
        <v>33660</v>
      </c>
      <c r="J54" s="42"/>
      <c r="K54" s="42">
        <f>I62</f>
        <v>31160</v>
      </c>
    </row>
    <row r="55" spans="1:11" s="17" customFormat="1" ht="16.5" x14ac:dyDescent="0.25">
      <c r="A55" s="23"/>
      <c r="B55" s="1402"/>
      <c r="C55" s="1403"/>
      <c r="D55" s="1404"/>
      <c r="E55" s="39"/>
      <c r="F55" s="39"/>
      <c r="G55" s="39"/>
      <c r="H55" s="39"/>
      <c r="I55" s="39"/>
      <c r="J55" s="39"/>
      <c r="K55" s="39"/>
    </row>
    <row r="56" spans="1:11" s="17" customFormat="1" ht="33.75" customHeight="1" x14ac:dyDescent="0.25">
      <c r="A56" s="23"/>
      <c r="B56" s="1396" t="s">
        <v>264</v>
      </c>
      <c r="C56" s="1397"/>
      <c r="D56" s="1398"/>
      <c r="E56" s="47">
        <v>2744</v>
      </c>
      <c r="F56" s="39"/>
      <c r="G56" s="47">
        <v>5000</v>
      </c>
      <c r="H56" s="42"/>
      <c r="I56" s="47">
        <v>5000</v>
      </c>
      <c r="J56" s="42"/>
      <c r="K56" s="47">
        <v>5500</v>
      </c>
    </row>
    <row r="57" spans="1:11" s="36" customFormat="1" ht="16.5" x14ac:dyDescent="0.25">
      <c r="A57" s="23"/>
      <c r="B57" s="1402" t="s">
        <v>257</v>
      </c>
      <c r="C57" s="1403"/>
      <c r="D57" s="1404"/>
      <c r="E57" s="48">
        <v>2422</v>
      </c>
      <c r="F57" s="39"/>
      <c r="G57" s="48"/>
      <c r="H57" s="42"/>
      <c r="I57" s="48"/>
      <c r="J57" s="42"/>
      <c r="K57" s="48"/>
    </row>
    <row r="58" spans="1:11" s="17" customFormat="1" ht="16.5" x14ac:dyDescent="0.25">
      <c r="A58" s="23"/>
      <c r="B58" s="1396" t="s">
        <v>265</v>
      </c>
      <c r="C58" s="1397"/>
      <c r="D58" s="1398"/>
      <c r="E58" s="42">
        <f>E54-E56+E57</f>
        <v>30788</v>
      </c>
      <c r="F58" s="39"/>
      <c r="G58" s="42">
        <f>G54-G56+G57</f>
        <v>30812</v>
      </c>
      <c r="H58" s="42"/>
      <c r="I58" s="42">
        <f>I54-I56+I57</f>
        <v>28660</v>
      </c>
      <c r="J58" s="42"/>
      <c r="K58" s="42">
        <f>K54-K56+K57</f>
        <v>25660</v>
      </c>
    </row>
    <row r="59" spans="1:11" s="17" customFormat="1" ht="16.5" x14ac:dyDescent="0.25">
      <c r="A59" s="23"/>
      <c r="B59" s="1402"/>
      <c r="C59" s="1403"/>
      <c r="D59" s="1404"/>
      <c r="E59" s="42"/>
      <c r="F59" s="39"/>
      <c r="G59" s="42"/>
      <c r="H59" s="42"/>
      <c r="I59" s="42"/>
      <c r="J59" s="42"/>
      <c r="K59" s="42"/>
    </row>
    <row r="60" spans="1:11" s="17" customFormat="1" ht="16.5" x14ac:dyDescent="0.25">
      <c r="A60" s="23"/>
      <c r="B60" s="1396" t="s">
        <v>266</v>
      </c>
      <c r="C60" s="1397"/>
      <c r="D60" s="1398"/>
      <c r="E60" s="42">
        <f>E51</f>
        <v>5024</v>
      </c>
      <c r="F60" s="39"/>
      <c r="G60" s="42">
        <f>G51</f>
        <v>2848</v>
      </c>
      <c r="H60" s="42"/>
      <c r="I60" s="42">
        <f>I51</f>
        <v>2500</v>
      </c>
      <c r="J60" s="42"/>
      <c r="K60" s="42">
        <f>K51</f>
        <v>2500</v>
      </c>
    </row>
    <row r="61" spans="1:11" s="17" customFormat="1" ht="16.5" x14ac:dyDescent="0.25">
      <c r="A61" s="23"/>
      <c r="B61" s="1402"/>
      <c r="C61" s="1403"/>
      <c r="D61" s="1404"/>
      <c r="E61" s="42"/>
      <c r="F61" s="39"/>
      <c r="G61" s="42"/>
      <c r="H61" s="42"/>
      <c r="I61" s="42"/>
      <c r="J61" s="42"/>
      <c r="K61" s="42"/>
    </row>
    <row r="62" spans="1:11" s="17" customFormat="1" ht="16.5" x14ac:dyDescent="0.25">
      <c r="A62" s="23"/>
      <c r="B62" s="1396" t="s">
        <v>267</v>
      </c>
      <c r="C62" s="1397"/>
      <c r="D62" s="1398"/>
      <c r="E62" s="42">
        <f>E58+E60</f>
        <v>35812</v>
      </c>
      <c r="F62" s="39"/>
      <c r="G62" s="42">
        <f>G58+G60</f>
        <v>33660</v>
      </c>
      <c r="H62" s="42"/>
      <c r="I62" s="42">
        <f>I58+I60</f>
        <v>31160</v>
      </c>
      <c r="J62" s="42"/>
      <c r="K62" s="42">
        <f>K58+K60</f>
        <v>28160</v>
      </c>
    </row>
    <row r="63" spans="1:11" s="17" customFormat="1" ht="16.5" x14ac:dyDescent="0.25">
      <c r="A63" s="23"/>
      <c r="B63" s="1402"/>
      <c r="C63" s="1403"/>
      <c r="D63" s="1404"/>
      <c r="E63" s="42"/>
      <c r="F63" s="39"/>
      <c r="G63" s="42"/>
      <c r="H63" s="42"/>
      <c r="I63" s="42"/>
      <c r="J63" s="42"/>
      <c r="K63" s="42"/>
    </row>
    <row r="64" spans="1:11" s="17" customFormat="1" ht="16.5" x14ac:dyDescent="0.25">
      <c r="A64" s="34"/>
      <c r="B64" s="1406" t="s">
        <v>260</v>
      </c>
      <c r="C64" s="1407"/>
      <c r="D64" s="1408"/>
      <c r="E64" s="41">
        <f>E56/(E54+E60)</f>
        <v>7.5939558310732277E-2</v>
      </c>
      <c r="F64" s="49"/>
      <c r="G64" s="41">
        <f>G56/(G54+G60)</f>
        <v>0.12933264355923435</v>
      </c>
      <c r="H64" s="49"/>
      <c r="I64" s="41">
        <f>I56/(I54+I60)</f>
        <v>0.13827433628318583</v>
      </c>
      <c r="J64" s="49"/>
      <c r="K64" s="41">
        <f>K56/(K54+K60)</f>
        <v>0.16339869281045752</v>
      </c>
    </row>
    <row r="65" spans="1:11" s="17" customFormat="1" ht="16.5" x14ac:dyDescent="0.25">
      <c r="A65" s="23"/>
      <c r="B65" s="1402"/>
      <c r="C65" s="1403"/>
      <c r="D65" s="1404"/>
      <c r="E65" s="39"/>
      <c r="F65" s="39"/>
      <c r="G65" s="39"/>
      <c r="H65" s="39"/>
      <c r="I65" s="39"/>
      <c r="J65" s="39"/>
      <c r="K65" s="39"/>
    </row>
    <row r="66" spans="1:11" s="17" customFormat="1" ht="16.5" x14ac:dyDescent="0.25">
      <c r="A66" s="23"/>
      <c r="B66" s="23"/>
      <c r="C66" s="50"/>
      <c r="D66" s="45"/>
      <c r="E66" s="45"/>
      <c r="F66" s="45"/>
      <c r="G66" s="45"/>
      <c r="H66" s="45"/>
      <c r="I66" s="45"/>
      <c r="J66" s="45"/>
      <c r="K66" s="45"/>
    </row>
    <row r="67" spans="1:11" s="17" customFormat="1" ht="16.5" x14ac:dyDescent="0.25">
      <c r="A67" s="34"/>
      <c r="B67" s="1406" t="s">
        <v>268</v>
      </c>
      <c r="C67" s="1407"/>
      <c r="D67" s="1408"/>
      <c r="E67" s="41">
        <f>(E47+0.4*E56)/E45</f>
        <v>0.60743851229754053</v>
      </c>
      <c r="F67" s="49"/>
      <c r="G67" s="41">
        <f>(G47+0.4*G56)/G45</f>
        <v>0.90023529411764702</v>
      </c>
      <c r="H67" s="49"/>
      <c r="I67" s="41">
        <f>(I47+0.4*I56)/I45</f>
        <v>0.94736842105263153</v>
      </c>
      <c r="J67" s="49"/>
      <c r="K67" s="41">
        <f>(K47+0.4*K56)/K45</f>
        <v>0.97142857142857142</v>
      </c>
    </row>
    <row r="68" spans="1:11" s="36" customFormat="1" ht="16.5" x14ac:dyDescent="0.25">
      <c r="A68" s="23"/>
      <c r="B68" s="23"/>
      <c r="C68" s="12"/>
      <c r="D68" s="12"/>
      <c r="E68" s="12"/>
      <c r="F68" s="12"/>
      <c r="G68" s="12"/>
      <c r="H68" s="12"/>
      <c r="I68" s="12"/>
      <c r="J68" s="12"/>
      <c r="K68" s="12"/>
    </row>
    <row r="69" spans="1:11" s="36" customFormat="1" ht="16.5" x14ac:dyDescent="0.25">
      <c r="A69" s="23"/>
      <c r="B69" s="23"/>
      <c r="C69" s="12"/>
      <c r="D69" s="12"/>
      <c r="E69" s="12"/>
      <c r="F69" s="12"/>
      <c r="G69" s="12"/>
      <c r="H69" s="12"/>
      <c r="I69" s="12"/>
      <c r="J69" s="12"/>
      <c r="K69" s="12"/>
    </row>
    <row r="70" spans="1:11" s="17" customFormat="1" ht="16.5" customHeight="1" x14ac:dyDescent="0.25">
      <c r="A70" s="23"/>
      <c r="B70" s="23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17" customFormat="1" ht="33" customHeight="1" x14ac:dyDescent="0.25">
      <c r="A71" s="769"/>
      <c r="B71" s="769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36" customFormat="1" ht="20.25" x14ac:dyDescent="0.3">
      <c r="A72" s="767" t="s">
        <v>22</v>
      </c>
      <c r="B72" s="767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x14ac:dyDescent="0.3">
      <c r="A73" s="767"/>
      <c r="B73" s="1394" t="s">
        <v>269</v>
      </c>
      <c r="C73" s="1394"/>
      <c r="D73" s="1394"/>
      <c r="E73" s="1394"/>
      <c r="F73" s="1394"/>
      <c r="G73" s="1394"/>
      <c r="H73" s="1394"/>
      <c r="I73" s="1394"/>
      <c r="J73" s="1394"/>
      <c r="K73" s="1394"/>
    </row>
    <row r="74" spans="1:11" ht="16.5" x14ac:dyDescent="0.25">
      <c r="A74" s="769"/>
      <c r="B74" s="1412"/>
      <c r="C74" s="1412"/>
      <c r="D74" s="1412"/>
      <c r="E74" s="1412"/>
      <c r="F74" s="1412"/>
      <c r="G74" s="1412"/>
      <c r="H74" s="1412"/>
      <c r="I74" s="1412"/>
      <c r="J74" s="1412"/>
      <c r="K74" s="1412"/>
    </row>
    <row r="75" spans="1:11" ht="16.5" x14ac:dyDescent="0.25">
      <c r="A75" s="26"/>
      <c r="B75" s="51"/>
      <c r="C75" s="52" t="s">
        <v>253</v>
      </c>
      <c r="D75" s="53"/>
      <c r="E75" s="53"/>
      <c r="F75" s="53"/>
      <c r="G75" s="53"/>
      <c r="H75" s="53"/>
      <c r="I75" s="53"/>
      <c r="J75" s="53"/>
      <c r="K75" s="54"/>
    </row>
    <row r="76" spans="1:11" ht="16.5" x14ac:dyDescent="0.25">
      <c r="A76" s="771"/>
      <c r="B76" s="1399" t="s">
        <v>254</v>
      </c>
      <c r="C76" s="1400"/>
      <c r="D76" s="1401"/>
      <c r="E76" s="27">
        <v>2010</v>
      </c>
      <c r="F76" s="28"/>
      <c r="G76" s="27">
        <v>2011</v>
      </c>
      <c r="H76" s="28"/>
      <c r="I76" s="27">
        <v>2012</v>
      </c>
      <c r="J76" s="27"/>
      <c r="K76" s="27">
        <v>2013</v>
      </c>
    </row>
    <row r="77" spans="1:11" ht="20.25" customHeight="1" x14ac:dyDescent="0.25">
      <c r="A77" s="772"/>
      <c r="B77" s="1402"/>
      <c r="C77" s="1403"/>
      <c r="D77" s="1404"/>
      <c r="E77" s="770"/>
      <c r="F77" s="32"/>
      <c r="G77" s="770"/>
      <c r="H77" s="32"/>
      <c r="I77" s="770"/>
      <c r="J77" s="770"/>
      <c r="K77" s="770"/>
    </row>
    <row r="78" spans="1:11" ht="16.5" x14ac:dyDescent="0.25">
      <c r="A78" s="18"/>
      <c r="B78" s="1402" t="s">
        <v>255</v>
      </c>
      <c r="C78" s="1403"/>
      <c r="D78" s="1404"/>
      <c r="E78" s="33">
        <v>6000</v>
      </c>
      <c r="F78" s="33"/>
      <c r="G78" s="33">
        <v>6100</v>
      </c>
      <c r="H78" s="33"/>
      <c r="I78" s="33">
        <v>6300</v>
      </c>
      <c r="J78" s="33"/>
      <c r="K78" s="33">
        <v>6500</v>
      </c>
    </row>
    <row r="79" spans="1:11" ht="16.5" x14ac:dyDescent="0.25">
      <c r="A79" s="18"/>
      <c r="B79" s="1402" t="s">
        <v>257</v>
      </c>
      <c r="C79" s="1403"/>
      <c r="D79" s="1404"/>
      <c r="E79" s="33">
        <v>-1017</v>
      </c>
      <c r="F79" s="33"/>
      <c r="G79" s="33">
        <v>-150</v>
      </c>
      <c r="H79" s="33"/>
      <c r="I79" s="33">
        <v>-150</v>
      </c>
      <c r="J79" s="33"/>
      <c r="K79" s="33">
        <v>-200</v>
      </c>
    </row>
    <row r="80" spans="1:11" s="10" customFormat="1" ht="16.5" x14ac:dyDescent="0.25">
      <c r="A80" s="23"/>
      <c r="B80" s="1396" t="s">
        <v>258</v>
      </c>
      <c r="C80" s="1397"/>
      <c r="D80" s="1398"/>
      <c r="E80" s="37">
        <f>SUM(E78:E79)</f>
        <v>4983</v>
      </c>
      <c r="F80" s="37"/>
      <c r="G80" s="37">
        <f>SUM(G78:G79)</f>
        <v>5950</v>
      </c>
      <c r="H80" s="37"/>
      <c r="I80" s="37">
        <f>SUM(I78:I79)</f>
        <v>6150</v>
      </c>
      <c r="J80" s="37"/>
      <c r="K80" s="37">
        <f>SUM(K78:K79)</f>
        <v>6300</v>
      </c>
    </row>
    <row r="81" spans="1:11" s="1" customFormat="1" ht="16.5" x14ac:dyDescent="0.25">
      <c r="A81" s="23"/>
      <c r="B81" s="1402"/>
      <c r="C81" s="1403"/>
      <c r="D81" s="1404"/>
      <c r="E81" s="37"/>
      <c r="F81" s="37"/>
      <c r="G81" s="37"/>
      <c r="H81" s="37"/>
      <c r="I81" s="37"/>
      <c r="J81" s="37"/>
      <c r="K81" s="37"/>
    </row>
    <row r="82" spans="1:11" s="17" customFormat="1" ht="16.5" x14ac:dyDescent="0.25">
      <c r="A82" s="23"/>
      <c r="B82" s="1396" t="s">
        <v>259</v>
      </c>
      <c r="C82" s="1397"/>
      <c r="D82" s="1398"/>
      <c r="E82" s="37">
        <v>2908</v>
      </c>
      <c r="F82" s="37"/>
      <c r="G82" s="37">
        <v>2979</v>
      </c>
      <c r="H82" s="37"/>
      <c r="I82" s="37">
        <v>4200</v>
      </c>
      <c r="J82" s="37"/>
      <c r="K82" s="37">
        <v>5000</v>
      </c>
    </row>
    <row r="83" spans="1:11" s="17" customFormat="1" ht="16.5" x14ac:dyDescent="0.25">
      <c r="A83" s="23"/>
      <c r="B83" s="1402"/>
      <c r="C83" s="1403"/>
      <c r="D83" s="1404"/>
      <c r="E83" s="39"/>
      <c r="F83" s="39"/>
      <c r="G83" s="39"/>
      <c r="H83" s="39"/>
      <c r="I83" s="39"/>
      <c r="J83" s="39"/>
      <c r="K83" s="39"/>
    </row>
    <row r="84" spans="1:11" s="17" customFormat="1" ht="16.5" x14ac:dyDescent="0.25">
      <c r="A84" s="34"/>
      <c r="B84" s="1406" t="s">
        <v>260</v>
      </c>
      <c r="C84" s="1407"/>
      <c r="D84" s="1408"/>
      <c r="E84" s="41">
        <f>E82/E80</f>
        <v>0.58358418623319286</v>
      </c>
      <c r="F84" s="41"/>
      <c r="G84" s="41">
        <f>G82/G80</f>
        <v>0.500672268907563</v>
      </c>
      <c r="H84" s="41"/>
      <c r="I84" s="41">
        <f>I82/I80</f>
        <v>0.68292682926829273</v>
      </c>
      <c r="J84" s="41"/>
      <c r="K84" s="41">
        <f>K82/K80</f>
        <v>0.79365079365079361</v>
      </c>
    </row>
    <row r="85" spans="1:11" s="17" customFormat="1" ht="16.5" x14ac:dyDescent="0.25">
      <c r="A85" s="23"/>
      <c r="B85" s="1402"/>
      <c r="C85" s="1403"/>
      <c r="D85" s="1404"/>
      <c r="E85" s="39"/>
      <c r="F85" s="39"/>
      <c r="G85" s="39"/>
      <c r="H85" s="39"/>
      <c r="I85" s="39"/>
      <c r="J85" s="39"/>
      <c r="K85" s="39"/>
    </row>
    <row r="86" spans="1:11" s="17" customFormat="1" ht="16.5" x14ac:dyDescent="0.25">
      <c r="A86" s="23"/>
      <c r="B86" s="1396" t="s">
        <v>261</v>
      </c>
      <c r="C86" s="1397"/>
      <c r="D86" s="1398"/>
      <c r="E86" s="42">
        <f>E80-E82</f>
        <v>2075</v>
      </c>
      <c r="F86" s="39"/>
      <c r="G86" s="42">
        <f>G80-G82</f>
        <v>2971</v>
      </c>
      <c r="H86" s="42"/>
      <c r="I86" s="42">
        <f>I80-I82</f>
        <v>1950</v>
      </c>
      <c r="J86" s="42"/>
      <c r="K86" s="42">
        <f>K80-K82</f>
        <v>1300</v>
      </c>
    </row>
    <row r="87" spans="1:11" s="17" customFormat="1" ht="16.5" x14ac:dyDescent="0.25">
      <c r="A87" s="23"/>
      <c r="B87" s="23"/>
      <c r="C87" s="45"/>
      <c r="D87" s="45"/>
      <c r="E87" s="45"/>
      <c r="F87" s="45"/>
      <c r="G87" s="46"/>
      <c r="H87" s="46"/>
      <c r="I87" s="46"/>
      <c r="J87" s="46"/>
      <c r="K87" s="46"/>
    </row>
    <row r="88" spans="1:11" s="36" customFormat="1" ht="16.5" x14ac:dyDescent="0.25">
      <c r="A88" s="34"/>
      <c r="B88" s="1406" t="s">
        <v>262</v>
      </c>
      <c r="C88" s="1407"/>
      <c r="D88" s="1407"/>
      <c r="E88" s="1407"/>
      <c r="F88" s="1407"/>
      <c r="G88" s="1407"/>
      <c r="H88" s="1407"/>
      <c r="I88" s="1407"/>
      <c r="J88" s="1407"/>
      <c r="K88" s="1408"/>
    </row>
    <row r="89" spans="1:11" s="17" customFormat="1" ht="16.5" x14ac:dyDescent="0.25">
      <c r="A89" s="23"/>
      <c r="B89" s="1396" t="s">
        <v>263</v>
      </c>
      <c r="C89" s="1397"/>
      <c r="D89" s="1398"/>
      <c r="E89" s="42">
        <v>7858</v>
      </c>
      <c r="F89" s="39"/>
      <c r="G89" s="42">
        <f>E97</f>
        <v>9542</v>
      </c>
      <c r="H89" s="42"/>
      <c r="I89" s="42">
        <f>G97</f>
        <v>11563</v>
      </c>
      <c r="J89" s="42"/>
      <c r="K89" s="42">
        <f>I97</f>
        <v>12713</v>
      </c>
    </row>
    <row r="90" spans="1:11" s="17" customFormat="1" ht="16.5" x14ac:dyDescent="0.25">
      <c r="A90" s="23"/>
      <c r="B90" s="1402" t="s">
        <v>257</v>
      </c>
      <c r="C90" s="1403"/>
      <c r="D90" s="1404"/>
      <c r="E90" s="42">
        <v>743</v>
      </c>
      <c r="F90" s="39"/>
      <c r="G90" s="37">
        <v>1042</v>
      </c>
      <c r="H90" s="39"/>
      <c r="I90" s="37">
        <v>1100</v>
      </c>
      <c r="J90" s="39"/>
      <c r="K90" s="37">
        <v>1200</v>
      </c>
    </row>
    <row r="91" spans="1:11" s="17" customFormat="1" ht="33.75" customHeight="1" x14ac:dyDescent="0.25">
      <c r="A91" s="23"/>
      <c r="B91" s="1396" t="s">
        <v>264</v>
      </c>
      <c r="C91" s="1397"/>
      <c r="D91" s="1398"/>
      <c r="E91" s="42">
        <v>1134</v>
      </c>
      <c r="F91" s="39"/>
      <c r="G91" s="42">
        <v>1992</v>
      </c>
      <c r="H91" s="42"/>
      <c r="I91" s="42">
        <v>1900</v>
      </c>
      <c r="J91" s="42"/>
      <c r="K91" s="42">
        <v>2200</v>
      </c>
    </row>
    <row r="92" spans="1:11" s="36" customFormat="1" ht="16.5" x14ac:dyDescent="0.25">
      <c r="A92" s="23"/>
      <c r="B92" s="1402"/>
      <c r="C92" s="1403"/>
      <c r="D92" s="1404"/>
      <c r="E92" s="42"/>
      <c r="F92" s="39"/>
      <c r="G92" s="42"/>
      <c r="H92" s="42"/>
      <c r="I92" s="42"/>
      <c r="J92" s="42"/>
      <c r="K92" s="42"/>
    </row>
    <row r="93" spans="1:11" s="17" customFormat="1" ht="16.5" x14ac:dyDescent="0.25">
      <c r="A93" s="23"/>
      <c r="B93" s="1396" t="s">
        <v>265</v>
      </c>
      <c r="C93" s="1397"/>
      <c r="D93" s="1398"/>
      <c r="E93" s="42">
        <f>E89-E91+E90</f>
        <v>7467</v>
      </c>
      <c r="F93" s="39"/>
      <c r="G93" s="42">
        <f>G89-G91+G90</f>
        <v>8592</v>
      </c>
      <c r="H93" s="42"/>
      <c r="I93" s="42">
        <f>I89-I91+I90</f>
        <v>10763</v>
      </c>
      <c r="J93" s="42"/>
      <c r="K93" s="42">
        <f>K89-K91+K90</f>
        <v>11713</v>
      </c>
    </row>
    <row r="94" spans="1:11" s="17" customFormat="1" ht="16.5" x14ac:dyDescent="0.25">
      <c r="A94" s="23"/>
      <c r="B94" s="1402"/>
      <c r="C94" s="1403"/>
      <c r="D94" s="1404"/>
      <c r="E94" s="39"/>
      <c r="F94" s="39"/>
      <c r="G94" s="42"/>
      <c r="H94" s="42"/>
      <c r="I94" s="42"/>
      <c r="J94" s="42"/>
      <c r="K94" s="42"/>
    </row>
    <row r="95" spans="1:11" s="17" customFormat="1" ht="16.5" x14ac:dyDescent="0.25">
      <c r="A95" s="23"/>
      <c r="B95" s="1396" t="s">
        <v>266</v>
      </c>
      <c r="C95" s="1397"/>
      <c r="D95" s="1398"/>
      <c r="E95" s="42">
        <f>E86</f>
        <v>2075</v>
      </c>
      <c r="F95" s="39"/>
      <c r="G95" s="42">
        <f>G86</f>
        <v>2971</v>
      </c>
      <c r="H95" s="42"/>
      <c r="I95" s="42">
        <f>I86</f>
        <v>1950</v>
      </c>
      <c r="J95" s="42"/>
      <c r="K95" s="42">
        <f>K86</f>
        <v>1300</v>
      </c>
    </row>
    <row r="96" spans="1:11" s="17" customFormat="1" ht="16.5" x14ac:dyDescent="0.25">
      <c r="A96" s="23"/>
      <c r="B96" s="1402"/>
      <c r="C96" s="1403"/>
      <c r="D96" s="1404"/>
      <c r="E96" s="39"/>
      <c r="F96" s="39"/>
      <c r="G96" s="42"/>
      <c r="H96" s="42"/>
      <c r="I96" s="42"/>
      <c r="J96" s="42"/>
      <c r="K96" s="42"/>
    </row>
    <row r="97" spans="1:11" s="17" customFormat="1" ht="16.5" x14ac:dyDescent="0.25">
      <c r="A97" s="23"/>
      <c r="B97" s="1396" t="s">
        <v>267</v>
      </c>
      <c r="C97" s="1397"/>
      <c r="D97" s="1398"/>
      <c r="E97" s="42">
        <f>E93+E95</f>
        <v>9542</v>
      </c>
      <c r="F97" s="39"/>
      <c r="G97" s="42">
        <f>G93+G95</f>
        <v>11563</v>
      </c>
      <c r="H97" s="42"/>
      <c r="I97" s="42">
        <f>I93+I95</f>
        <v>12713</v>
      </c>
      <c r="J97" s="42"/>
      <c r="K97" s="42">
        <f>K93+K95</f>
        <v>13013</v>
      </c>
    </row>
    <row r="98" spans="1:11" s="17" customFormat="1" ht="16.5" x14ac:dyDescent="0.25">
      <c r="A98" s="23"/>
      <c r="B98" s="1402"/>
      <c r="C98" s="1403"/>
      <c r="D98" s="1404"/>
      <c r="E98" s="39"/>
      <c r="F98" s="39"/>
      <c r="G98" s="42"/>
      <c r="H98" s="42"/>
      <c r="I98" s="42"/>
      <c r="J98" s="42"/>
      <c r="K98" s="42"/>
    </row>
    <row r="99" spans="1:11" s="17" customFormat="1" ht="16.5" x14ac:dyDescent="0.25">
      <c r="A99" s="34"/>
      <c r="B99" s="1406" t="s">
        <v>260</v>
      </c>
      <c r="C99" s="1407"/>
      <c r="D99" s="1408"/>
      <c r="E99" s="49"/>
      <c r="F99" s="49"/>
      <c r="G99" s="41">
        <f>G91/(G89+G95)</f>
        <v>0.15919443778470391</v>
      </c>
      <c r="H99" s="49"/>
      <c r="I99" s="41">
        <f>I91/(I89+I95)</f>
        <v>0.14060534300303412</v>
      </c>
      <c r="J99" s="49"/>
      <c r="K99" s="41">
        <f>K91/(K89+K95)</f>
        <v>0.15699707414543637</v>
      </c>
    </row>
    <row r="100" spans="1:11" s="17" customFormat="1" ht="16.5" x14ac:dyDescent="0.25">
      <c r="A100" s="23"/>
      <c r="B100" s="1402"/>
      <c r="C100" s="1403"/>
      <c r="D100" s="1404"/>
      <c r="E100" s="39"/>
      <c r="F100" s="39"/>
      <c r="G100" s="39"/>
      <c r="H100" s="39"/>
      <c r="I100" s="39"/>
      <c r="J100" s="39"/>
      <c r="K100" s="39"/>
    </row>
    <row r="101" spans="1:11" s="17" customFormat="1" ht="16.5" x14ac:dyDescent="0.25">
      <c r="A101" s="769"/>
      <c r="B101" s="769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s="17" customFormat="1" ht="16.5" x14ac:dyDescent="0.25">
      <c r="A102" s="769"/>
      <c r="B102" s="769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s="36" customFormat="1" ht="16.5" x14ac:dyDescent="0.25">
      <c r="A103" s="769"/>
      <c r="B103" s="769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s="17" customFormat="1" ht="16.5" customHeight="1" x14ac:dyDescent="0.25">
      <c r="A104" s="769"/>
      <c r="B104" s="769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16.5" x14ac:dyDescent="0.25">
      <c r="A105" s="769"/>
      <c r="B105" s="769"/>
    </row>
    <row r="106" spans="1:11" ht="20.25" x14ac:dyDescent="0.3">
      <c r="A106" s="767" t="s">
        <v>23</v>
      </c>
      <c r="B106" s="767"/>
    </row>
    <row r="107" spans="1:11" ht="16.5" x14ac:dyDescent="0.25">
      <c r="A107" s="1410" t="s">
        <v>270</v>
      </c>
      <c r="B107" s="1410"/>
      <c r="C107" s="1410"/>
      <c r="D107" s="1410"/>
      <c r="E107" s="1410"/>
      <c r="F107" s="1410"/>
      <c r="G107" s="1410"/>
      <c r="H107" s="1410"/>
      <c r="I107" s="1410"/>
      <c r="J107" s="1410"/>
      <c r="K107" s="1410"/>
    </row>
    <row r="108" spans="1:11" ht="16.5" x14ac:dyDescent="0.25">
      <c r="A108" s="772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</row>
    <row r="109" spans="1:11" ht="16.5" x14ac:dyDescent="0.25">
      <c r="A109" s="772"/>
      <c r="B109" s="772"/>
      <c r="C109" s="772"/>
      <c r="D109" s="769" t="s">
        <v>271</v>
      </c>
      <c r="E109" s="772"/>
      <c r="F109" s="772"/>
      <c r="G109" s="772">
        <v>0</v>
      </c>
      <c r="H109" s="772"/>
      <c r="I109" s="772"/>
      <c r="J109" s="772"/>
      <c r="K109" s="772"/>
    </row>
    <row r="110" spans="1:11" ht="16.5" x14ac:dyDescent="0.25">
      <c r="A110" s="772"/>
      <c r="B110" s="772"/>
      <c r="C110" s="772"/>
      <c r="D110" s="769" t="s">
        <v>272</v>
      </c>
      <c r="E110" s="772"/>
      <c r="F110" s="772"/>
      <c r="G110" s="55">
        <v>660</v>
      </c>
      <c r="H110" s="772"/>
      <c r="I110" s="772"/>
      <c r="J110" s="772"/>
      <c r="K110" s="772"/>
    </row>
    <row r="111" spans="1:11" ht="17.25" thickBot="1" x14ac:dyDescent="0.3">
      <c r="A111" s="771"/>
      <c r="B111" s="771"/>
      <c r="C111" s="771"/>
      <c r="D111" s="771" t="s">
        <v>143</v>
      </c>
      <c r="E111" s="771"/>
      <c r="F111" s="771"/>
      <c r="G111" s="56">
        <f>SUM(G108:G110)</f>
        <v>660</v>
      </c>
      <c r="H111" s="771"/>
      <c r="I111" s="771"/>
      <c r="J111" s="771"/>
      <c r="K111" s="771"/>
    </row>
    <row r="112" spans="1:11" ht="17.25" thickTop="1" x14ac:dyDescent="0.25">
      <c r="A112" s="772"/>
      <c r="B112" s="772"/>
      <c r="C112" s="772"/>
      <c r="D112" s="772"/>
      <c r="E112" s="772"/>
      <c r="F112" s="772"/>
      <c r="G112" s="58"/>
      <c r="H112" s="772"/>
      <c r="I112" s="772"/>
      <c r="J112" s="772"/>
      <c r="K112" s="772"/>
    </row>
    <row r="113" spans="1:11" ht="20.25" x14ac:dyDescent="0.3">
      <c r="A113" s="767" t="s">
        <v>104</v>
      </c>
      <c r="B113" s="767"/>
    </row>
    <row r="114" spans="1:11" ht="16.5" x14ac:dyDescent="0.25">
      <c r="A114" s="1410" t="s">
        <v>273</v>
      </c>
      <c r="B114" s="1410"/>
      <c r="C114" s="1410"/>
      <c r="D114" s="1410"/>
      <c r="E114" s="1410"/>
      <c r="F114" s="1410"/>
      <c r="G114" s="1410"/>
      <c r="H114" s="1410"/>
      <c r="I114" s="1410"/>
      <c r="J114" s="1410"/>
      <c r="K114" s="1410"/>
    </row>
    <row r="115" spans="1:11" s="57" customFormat="1" ht="19.5" customHeight="1" x14ac:dyDescent="0.25">
      <c r="A115" s="769"/>
      <c r="B115" s="769"/>
      <c r="C115" s="769"/>
      <c r="D115" s="769"/>
      <c r="E115" s="769"/>
      <c r="F115" s="769"/>
      <c r="G115" s="769"/>
      <c r="H115" s="769"/>
      <c r="I115" s="769"/>
      <c r="J115" s="769"/>
      <c r="K115" s="769"/>
    </row>
    <row r="116" spans="1:11" ht="24" customHeight="1" x14ac:dyDescent="0.3">
      <c r="A116" s="767" t="s">
        <v>274</v>
      </c>
      <c r="B116" s="767"/>
    </row>
    <row r="117" spans="1:11" ht="16.5" x14ac:dyDescent="0.25">
      <c r="A117" s="1410" t="s">
        <v>275</v>
      </c>
      <c r="B117" s="1410"/>
      <c r="C117" s="1410"/>
      <c r="D117" s="1410"/>
      <c r="E117" s="1410"/>
      <c r="F117" s="1410"/>
      <c r="G117" s="1410"/>
      <c r="H117" s="1410"/>
      <c r="I117" s="1410"/>
      <c r="J117" s="1410"/>
      <c r="K117" s="1410"/>
    </row>
    <row r="118" spans="1:11" ht="16.5" x14ac:dyDescent="0.25">
      <c r="A118" s="769"/>
      <c r="B118" s="769"/>
      <c r="C118" s="769"/>
      <c r="D118" s="769" t="s">
        <v>276</v>
      </c>
      <c r="E118" s="769"/>
      <c r="F118" s="769"/>
      <c r="G118" s="59">
        <v>1505</v>
      </c>
      <c r="H118" s="769"/>
      <c r="I118" s="769"/>
      <c r="J118" s="769"/>
      <c r="K118" s="769"/>
    </row>
    <row r="119" spans="1:11" ht="27.75" customHeight="1" x14ac:dyDescent="0.25">
      <c r="A119" s="769"/>
      <c r="B119" s="769"/>
      <c r="C119" s="769"/>
      <c r="D119" s="769" t="s">
        <v>232</v>
      </c>
      <c r="E119" s="769"/>
      <c r="F119" s="769"/>
      <c r="G119" s="59">
        <v>250</v>
      </c>
      <c r="H119" s="769"/>
      <c r="I119" s="769"/>
      <c r="J119" s="769"/>
      <c r="K119" s="769"/>
    </row>
    <row r="120" spans="1:11" ht="16.5" x14ac:dyDescent="0.25">
      <c r="A120" s="769"/>
      <c r="B120" s="769"/>
      <c r="C120" s="769"/>
      <c r="D120" s="769" t="s">
        <v>277</v>
      </c>
      <c r="E120" s="769"/>
      <c r="F120" s="769"/>
      <c r="G120" s="59">
        <v>250</v>
      </c>
      <c r="H120" s="769"/>
      <c r="I120" s="769"/>
      <c r="J120" s="769"/>
      <c r="K120" s="769"/>
    </row>
    <row r="121" spans="1:11" ht="16.5" x14ac:dyDescent="0.25">
      <c r="A121" s="769"/>
      <c r="B121" s="769"/>
      <c r="C121" s="769"/>
      <c r="D121" s="769" t="s">
        <v>278</v>
      </c>
      <c r="E121" s="769"/>
      <c r="F121" s="769"/>
      <c r="G121" s="59">
        <v>223</v>
      </c>
      <c r="H121" s="769"/>
      <c r="I121" s="769"/>
      <c r="J121" s="769"/>
      <c r="K121" s="769"/>
    </row>
    <row r="122" spans="1:11" ht="16.5" x14ac:dyDescent="0.25">
      <c r="A122" s="769"/>
      <c r="B122" s="769"/>
      <c r="C122" s="769"/>
      <c r="D122" s="769" t="s">
        <v>139</v>
      </c>
      <c r="E122" s="769"/>
      <c r="F122" s="769"/>
      <c r="G122" s="59">
        <v>271</v>
      </c>
      <c r="H122" s="769"/>
      <c r="I122" s="769"/>
      <c r="J122" s="769"/>
      <c r="K122" s="769"/>
    </row>
    <row r="123" spans="1:11" ht="17.25" thickBot="1" x14ac:dyDescent="0.3">
      <c r="A123" s="25"/>
      <c r="B123" s="25"/>
      <c r="C123" s="25"/>
      <c r="D123" s="25" t="s">
        <v>143</v>
      </c>
      <c r="E123" s="25"/>
      <c r="F123" s="25"/>
      <c r="G123" s="60">
        <f>SUM(G118:G122)</f>
        <v>2499</v>
      </c>
      <c r="H123" s="25"/>
      <c r="I123" s="25"/>
      <c r="J123" s="25"/>
      <c r="K123" s="25"/>
    </row>
    <row r="124" spans="1:11" ht="17.25" thickTop="1" x14ac:dyDescent="0.25">
      <c r="A124" s="772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</row>
    <row r="125" spans="1:11" ht="20.25" x14ac:dyDescent="0.3">
      <c r="A125" s="767" t="s">
        <v>26</v>
      </c>
      <c r="B125" s="767"/>
    </row>
    <row r="126" spans="1:11" x14ac:dyDescent="0.2">
      <c r="A126" s="1394" t="s">
        <v>279</v>
      </c>
      <c r="B126" s="1394"/>
      <c r="C126" s="1394"/>
      <c r="D126" s="1394"/>
      <c r="E126" s="1394"/>
      <c r="F126" s="1394"/>
      <c r="G126" s="1394"/>
      <c r="H126" s="1394"/>
      <c r="I126" s="1394"/>
      <c r="J126" s="1394"/>
      <c r="K126" s="1394"/>
    </row>
    <row r="127" spans="1:11" s="57" customFormat="1" x14ac:dyDescent="0.2">
      <c r="A127" s="1394"/>
      <c r="B127" s="1394"/>
      <c r="C127" s="1394"/>
      <c r="D127" s="1394"/>
      <c r="E127" s="1394"/>
      <c r="F127" s="1394"/>
      <c r="G127" s="1394"/>
      <c r="H127" s="1394"/>
      <c r="I127" s="1394"/>
      <c r="J127" s="1394"/>
      <c r="K127" s="1394"/>
    </row>
    <row r="128" spans="1:11" ht="24" customHeight="1" x14ac:dyDescent="0.25">
      <c r="A128" s="769"/>
      <c r="B128" s="769"/>
    </row>
    <row r="129" spans="1:11" ht="20.25" x14ac:dyDescent="0.3">
      <c r="A129" s="767" t="s">
        <v>27</v>
      </c>
      <c r="B129" s="767"/>
    </row>
    <row r="130" spans="1:11" ht="16.5" customHeight="1" x14ac:dyDescent="0.25">
      <c r="A130" s="1410" t="s">
        <v>280</v>
      </c>
      <c r="B130" s="1410"/>
      <c r="C130" s="1410"/>
      <c r="D130" s="1410"/>
      <c r="E130" s="1410"/>
      <c r="F130" s="1410"/>
      <c r="G130" s="1410"/>
      <c r="H130" s="1410"/>
      <c r="I130" s="1410"/>
      <c r="J130" s="1410"/>
      <c r="K130" s="1410"/>
    </row>
    <row r="131" spans="1:11" ht="16.5" customHeight="1" x14ac:dyDescent="0.25">
      <c r="A131" s="772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</row>
    <row r="132" spans="1:11" ht="24" customHeight="1" x14ac:dyDescent="0.3">
      <c r="A132" s="767" t="s">
        <v>28</v>
      </c>
      <c r="B132" s="767"/>
    </row>
    <row r="133" spans="1:11" ht="16.5" x14ac:dyDescent="0.25">
      <c r="A133" s="1410" t="s">
        <v>281</v>
      </c>
      <c r="B133" s="1410"/>
      <c r="C133" s="1410"/>
      <c r="D133" s="1410"/>
      <c r="E133" s="1410"/>
      <c r="F133" s="1410"/>
      <c r="G133" s="1410"/>
      <c r="H133" s="1410"/>
      <c r="I133" s="1410"/>
      <c r="J133" s="1410"/>
      <c r="K133" s="1410"/>
    </row>
    <row r="134" spans="1:11" ht="20.25" x14ac:dyDescent="0.3">
      <c r="A134" s="24"/>
      <c r="B134" s="24"/>
    </row>
    <row r="135" spans="1:11" ht="24" customHeight="1" x14ac:dyDescent="0.3">
      <c r="A135" s="24"/>
      <c r="B135" s="24"/>
    </row>
    <row r="136" spans="1:11" ht="24" customHeight="1" x14ac:dyDescent="0.3">
      <c r="A136" s="24"/>
      <c r="B136" s="24"/>
    </row>
    <row r="137" spans="1:11" ht="24" customHeight="1" x14ac:dyDescent="0.3">
      <c r="A137" s="24"/>
      <c r="B137" s="24"/>
    </row>
    <row r="138" spans="1:11" ht="20.25" x14ac:dyDescent="0.3">
      <c r="A138" s="767" t="s">
        <v>282</v>
      </c>
      <c r="B138" s="767"/>
    </row>
    <row r="139" spans="1:11" ht="16.5" x14ac:dyDescent="0.25">
      <c r="A139" s="769" t="s">
        <v>283</v>
      </c>
      <c r="B139" s="769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ht="16.5" x14ac:dyDescent="0.25">
      <c r="A140" s="769" t="s">
        <v>284</v>
      </c>
      <c r="B140" s="769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ht="16.5" x14ac:dyDescent="0.25">
      <c r="A141" s="769" t="s">
        <v>285</v>
      </c>
      <c r="B141" s="769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ht="16.5" x14ac:dyDescent="0.25">
      <c r="A142" s="769"/>
      <c r="B142" s="769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s="17" customFormat="1" ht="16.5" x14ac:dyDescent="0.25">
      <c r="A143" s="769"/>
      <c r="B143" s="769"/>
    </row>
    <row r="144" spans="1:11" s="17" customFormat="1" ht="20.25" x14ac:dyDescent="0.3">
      <c r="A144" s="767" t="s">
        <v>36</v>
      </c>
      <c r="B144" s="767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s="17" customFormat="1" ht="16.5" x14ac:dyDescent="0.25">
      <c r="A145" s="769" t="s">
        <v>286</v>
      </c>
      <c r="B145" s="769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s="17" customFormat="1" ht="16.5" x14ac:dyDescent="0.25">
      <c r="A146" s="769" t="s">
        <v>287</v>
      </c>
      <c r="B146" s="769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s="17" customFormat="1" ht="16.5" x14ac:dyDescent="0.25">
      <c r="A147" s="769" t="s">
        <v>288</v>
      </c>
      <c r="B147" s="769"/>
    </row>
    <row r="148" spans="1:11" ht="20.25" x14ac:dyDescent="0.3">
      <c r="A148" s="24"/>
      <c r="B148" s="24"/>
    </row>
    <row r="149" spans="1:11" ht="20.25" x14ac:dyDescent="0.3">
      <c r="A149" s="24"/>
      <c r="B149" s="24"/>
    </row>
    <row r="150" spans="1:11" ht="20.25" x14ac:dyDescent="0.3">
      <c r="A150" s="767" t="s">
        <v>289</v>
      </c>
      <c r="B150" s="767"/>
    </row>
    <row r="151" spans="1:11" s="17" customFormat="1" ht="16.5" x14ac:dyDescent="0.25">
      <c r="A151" s="769" t="s">
        <v>290</v>
      </c>
      <c r="B151" s="769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16.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ht="16.5" x14ac:dyDescent="0.25">
      <c r="A153" s="18"/>
      <c r="B153" s="18"/>
      <c r="C153" s="18"/>
      <c r="D153" s="18" t="s">
        <v>291</v>
      </c>
      <c r="E153" s="18"/>
      <c r="F153" s="18"/>
      <c r="G153" s="18"/>
      <c r="H153" s="61">
        <v>1478</v>
      </c>
      <c r="I153" s="18"/>
      <c r="J153" s="18"/>
      <c r="K153" s="18"/>
    </row>
    <row r="154" spans="1:11" ht="16.5" x14ac:dyDescent="0.25">
      <c r="A154" s="18"/>
      <c r="B154" s="18"/>
      <c r="C154" s="18"/>
      <c r="D154" s="18"/>
      <c r="E154" s="18"/>
      <c r="F154" s="18"/>
      <c r="G154" s="18"/>
      <c r="H154" s="61"/>
      <c r="I154" s="18"/>
      <c r="J154" s="18"/>
      <c r="K154" s="18"/>
    </row>
    <row r="155" spans="1:11" ht="17.25" thickBot="1" x14ac:dyDescent="0.3">
      <c r="A155" s="26"/>
      <c r="B155" s="26"/>
      <c r="C155" s="26"/>
      <c r="D155" s="1413" t="s">
        <v>143</v>
      </c>
      <c r="E155" s="1413"/>
      <c r="F155" s="26"/>
      <c r="G155" s="26"/>
      <c r="H155" s="62">
        <f>SUM(H153:H154)</f>
        <v>1478</v>
      </c>
      <c r="I155" s="26"/>
      <c r="J155" s="26"/>
      <c r="K155" s="26"/>
    </row>
    <row r="156" spans="1:11" ht="17.25" thickTop="1" x14ac:dyDescent="0.25">
      <c r="A156" s="23"/>
      <c r="B156" s="23"/>
    </row>
    <row r="157" spans="1:11" ht="16.5" x14ac:dyDescent="0.25">
      <c r="A157" s="769"/>
      <c r="B157" s="769"/>
    </row>
    <row r="158" spans="1:11" ht="16.5" x14ac:dyDescent="0.25">
      <c r="A158" s="769"/>
      <c r="B158" s="769"/>
    </row>
    <row r="159" spans="1:11" s="57" customFormat="1" ht="16.5" x14ac:dyDescent="0.25">
      <c r="A159" s="769"/>
      <c r="B159" s="769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16.5" x14ac:dyDescent="0.25">
      <c r="A160" s="769"/>
      <c r="B160" s="769"/>
    </row>
    <row r="161" spans="1:11" ht="16.5" x14ac:dyDescent="0.25">
      <c r="A161" s="769"/>
      <c r="B161" s="769"/>
    </row>
    <row r="162" spans="1:11" ht="16.5" x14ac:dyDescent="0.25">
      <c r="A162" s="769"/>
      <c r="B162" s="769"/>
    </row>
    <row r="163" spans="1:11" ht="16.5" x14ac:dyDescent="0.25">
      <c r="A163" s="769"/>
      <c r="B163" s="769"/>
    </row>
    <row r="164" spans="1:11" ht="16.5" x14ac:dyDescent="0.25">
      <c r="A164" s="769"/>
      <c r="B164" s="769"/>
    </row>
    <row r="165" spans="1:11" ht="16.5" x14ac:dyDescent="0.25">
      <c r="A165" s="769"/>
      <c r="B165" s="769"/>
    </row>
    <row r="166" spans="1:11" ht="20.25" x14ac:dyDescent="0.3">
      <c r="A166" s="767"/>
      <c r="B166" s="767"/>
    </row>
    <row r="167" spans="1:11" ht="20.25" x14ac:dyDescent="0.3">
      <c r="A167" s="767"/>
      <c r="B167" s="767"/>
    </row>
    <row r="168" spans="1:11" ht="20.25" x14ac:dyDescent="0.3">
      <c r="A168" s="767"/>
      <c r="B168" s="767"/>
    </row>
    <row r="169" spans="1:11" ht="20.25" x14ac:dyDescent="0.3">
      <c r="A169" s="767"/>
      <c r="B169" s="767"/>
    </row>
    <row r="170" spans="1:11" ht="16.5" x14ac:dyDescent="0.25">
      <c r="A170" s="769"/>
      <c r="B170" s="769"/>
    </row>
    <row r="171" spans="1:11" ht="16.5" x14ac:dyDescent="0.25">
      <c r="A171" s="769"/>
      <c r="B171" s="769"/>
    </row>
    <row r="172" spans="1:11" ht="20.25" x14ac:dyDescent="0.3">
      <c r="A172" s="767" t="s">
        <v>292</v>
      </c>
      <c r="B172" s="767"/>
    </row>
    <row r="173" spans="1:11" x14ac:dyDescent="0.2">
      <c r="A173" s="1394" t="s">
        <v>293</v>
      </c>
      <c r="B173" s="1394"/>
      <c r="C173" s="1394"/>
      <c r="D173" s="1394"/>
      <c r="E173" s="1394"/>
      <c r="F173" s="1394"/>
      <c r="G173" s="1394"/>
      <c r="H173" s="1394"/>
      <c r="I173" s="1394"/>
      <c r="J173" s="1394"/>
      <c r="K173" s="1394"/>
    </row>
    <row r="174" spans="1:11" x14ac:dyDescent="0.2">
      <c r="A174" s="1394"/>
      <c r="B174" s="1394"/>
      <c r="C174" s="1394"/>
      <c r="D174" s="1394"/>
      <c r="E174" s="1394"/>
      <c r="F174" s="1394"/>
      <c r="G174" s="1394"/>
      <c r="H174" s="1394"/>
      <c r="I174" s="1394"/>
      <c r="J174" s="1394"/>
      <c r="K174" s="1394"/>
    </row>
    <row r="175" spans="1:11" ht="36.75" customHeight="1" x14ac:dyDescent="0.2">
      <c r="A175" s="1394"/>
      <c r="B175" s="1394"/>
      <c r="C175" s="1394"/>
      <c r="D175" s="1394"/>
      <c r="E175" s="1394"/>
      <c r="F175" s="1394"/>
      <c r="G175" s="1394"/>
      <c r="H175" s="1394"/>
      <c r="I175" s="1394"/>
      <c r="J175" s="1394"/>
      <c r="K175" s="1394"/>
    </row>
    <row r="176" spans="1:11" ht="18" customHeight="1" x14ac:dyDescent="0.2">
      <c r="A176" s="1394" t="s">
        <v>294</v>
      </c>
      <c r="B176" s="1394"/>
      <c r="C176" s="1394"/>
      <c r="D176" s="1394"/>
      <c r="E176" s="1394"/>
      <c r="F176" s="1394"/>
      <c r="G176" s="1394"/>
      <c r="H176" s="1394"/>
      <c r="I176" s="1394"/>
      <c r="J176" s="1394"/>
      <c r="K176" s="1394"/>
    </row>
    <row r="177" spans="1:11" ht="21" customHeight="1" x14ac:dyDescent="0.2">
      <c r="A177" s="1394"/>
      <c r="B177" s="1394"/>
      <c r="C177" s="1394"/>
      <c r="D177" s="1394"/>
      <c r="E177" s="1394"/>
      <c r="F177" s="1394"/>
      <c r="G177" s="1394"/>
      <c r="H177" s="1394"/>
      <c r="I177" s="1394"/>
      <c r="J177" s="1394"/>
      <c r="K177" s="1394"/>
    </row>
    <row r="178" spans="1:11" ht="16.5" customHeight="1" x14ac:dyDescent="0.2">
      <c r="A178" s="1394" t="s">
        <v>295</v>
      </c>
      <c r="B178" s="1394"/>
      <c r="C178" s="1394"/>
      <c r="D178" s="1394"/>
      <c r="E178" s="1394"/>
      <c r="F178" s="1394"/>
      <c r="G178" s="1394"/>
      <c r="H178" s="1394"/>
      <c r="I178" s="1394"/>
      <c r="J178" s="1394"/>
      <c r="K178" s="1394"/>
    </row>
    <row r="179" spans="1:11" ht="16.5" customHeight="1" x14ac:dyDescent="0.2">
      <c r="A179" s="1394"/>
      <c r="B179" s="1394"/>
      <c r="C179" s="1394"/>
      <c r="D179" s="1394"/>
      <c r="E179" s="1394"/>
      <c r="F179" s="1394"/>
      <c r="G179" s="1394"/>
      <c r="H179" s="1394"/>
      <c r="I179" s="1394"/>
      <c r="J179" s="1394"/>
      <c r="K179" s="1394"/>
    </row>
    <row r="180" spans="1:11" ht="18" customHeight="1" x14ac:dyDescent="0.2">
      <c r="A180" s="1394"/>
      <c r="B180" s="1394"/>
      <c r="C180" s="1394"/>
      <c r="D180" s="1394"/>
      <c r="E180" s="1394"/>
      <c r="F180" s="1394"/>
      <c r="G180" s="1394"/>
      <c r="H180" s="1394"/>
      <c r="I180" s="1394"/>
      <c r="J180" s="1394"/>
      <c r="K180" s="1394"/>
    </row>
    <row r="181" spans="1:11" ht="30.75" customHeight="1" x14ac:dyDescent="0.25">
      <c r="A181" s="1410" t="s">
        <v>296</v>
      </c>
      <c r="B181" s="1410"/>
      <c r="C181" s="1410"/>
      <c r="D181" s="1410"/>
      <c r="E181" s="1410"/>
      <c r="F181" s="1410"/>
      <c r="G181" s="1410"/>
      <c r="H181" s="1410"/>
      <c r="I181" s="1410"/>
      <c r="J181" s="1410"/>
      <c r="K181" s="1410"/>
    </row>
    <row r="182" spans="1:11" ht="26.25" customHeight="1" x14ac:dyDescent="0.25">
      <c r="A182" s="1410" t="s">
        <v>297</v>
      </c>
      <c r="B182" s="1410"/>
      <c r="C182" s="1410"/>
      <c r="D182" s="1410"/>
      <c r="E182" s="1410"/>
      <c r="F182" s="1410"/>
      <c r="G182" s="1410"/>
      <c r="H182" s="1410"/>
      <c r="I182" s="1410"/>
      <c r="J182" s="1410"/>
      <c r="K182" s="1410"/>
    </row>
    <row r="183" spans="1:11" ht="16.5" customHeight="1" x14ac:dyDescent="0.2">
      <c r="A183" s="1394" t="s">
        <v>298</v>
      </c>
      <c r="B183" s="1394"/>
      <c r="C183" s="1394"/>
      <c r="D183" s="1394"/>
      <c r="E183" s="1394"/>
      <c r="F183" s="1394"/>
      <c r="G183" s="1394"/>
      <c r="H183" s="1394"/>
      <c r="I183" s="1394"/>
      <c r="J183" s="1394"/>
      <c r="K183" s="1394"/>
    </row>
    <row r="184" spans="1:11" ht="16.5" customHeight="1" x14ac:dyDescent="0.2">
      <c r="A184" s="1394"/>
      <c r="B184" s="1394"/>
      <c r="C184" s="1394"/>
      <c r="D184" s="1394"/>
      <c r="E184" s="1394"/>
      <c r="F184" s="1394"/>
      <c r="G184" s="1394"/>
      <c r="H184" s="1394"/>
      <c r="I184" s="1394"/>
      <c r="J184" s="1394"/>
      <c r="K184" s="1394"/>
    </row>
    <row r="185" spans="1:11" ht="27.75" customHeight="1" x14ac:dyDescent="0.2">
      <c r="A185" s="1394"/>
      <c r="B185" s="1394"/>
      <c r="C185" s="1394"/>
      <c r="D185" s="1394"/>
      <c r="E185" s="1394"/>
      <c r="F185" s="1394"/>
      <c r="G185" s="1394"/>
      <c r="H185" s="1394"/>
      <c r="I185" s="1394"/>
      <c r="J185" s="1394"/>
      <c r="K185" s="1394"/>
    </row>
    <row r="186" spans="1:11" ht="6.75" customHeight="1" x14ac:dyDescent="0.2">
      <c r="A186" s="1394"/>
      <c r="B186" s="1394"/>
      <c r="C186" s="1394"/>
      <c r="D186" s="1394"/>
      <c r="E186" s="1394"/>
      <c r="F186" s="1394"/>
      <c r="G186" s="1394"/>
      <c r="H186" s="1394"/>
      <c r="I186" s="1394"/>
      <c r="J186" s="1394"/>
      <c r="K186" s="1394"/>
    </row>
    <row r="187" spans="1:11" ht="16.5" customHeight="1" x14ac:dyDescent="0.25">
      <c r="A187" s="23"/>
      <c r="B187" s="23"/>
    </row>
    <row r="188" spans="1:11" ht="16.5" customHeight="1" x14ac:dyDescent="0.25">
      <c r="A188" s="1409" t="s">
        <v>299</v>
      </c>
      <c r="B188" s="1409"/>
      <c r="C188" s="1409"/>
      <c r="D188" s="1409"/>
      <c r="E188" s="1409"/>
      <c r="F188" s="1409"/>
      <c r="G188" s="1409"/>
      <c r="H188" s="1409"/>
      <c r="I188" s="1409"/>
      <c r="J188" s="1409"/>
      <c r="K188" s="1409"/>
    </row>
    <row r="189" spans="1:11" ht="16.5" customHeight="1" x14ac:dyDescent="0.2">
      <c r="A189" s="63"/>
      <c r="B189" s="63"/>
    </row>
    <row r="190" spans="1:11" ht="16.5" customHeight="1" x14ac:dyDescent="0.25">
      <c r="A190" s="64" t="s">
        <v>300</v>
      </c>
      <c r="B190" s="65"/>
      <c r="C190" s="553"/>
      <c r="D190" s="553"/>
      <c r="E190" s="553"/>
      <c r="F190" s="553"/>
      <c r="G190" s="65" t="s">
        <v>301</v>
      </c>
      <c r="H190" s="553"/>
      <c r="I190" s="66" t="s">
        <v>302</v>
      </c>
      <c r="J190" s="553"/>
      <c r="K190" s="553"/>
    </row>
    <row r="191" spans="1:11" ht="16.5" x14ac:dyDescent="0.25">
      <c r="A191" s="1410" t="s">
        <v>303</v>
      </c>
      <c r="B191" s="1410"/>
      <c r="C191" s="1410"/>
      <c r="E191" s="769" t="s">
        <v>1</v>
      </c>
      <c r="G191" s="67">
        <v>9842</v>
      </c>
      <c r="I191" s="68">
        <v>0.62</v>
      </c>
    </row>
    <row r="192" spans="1:11" ht="16.5" x14ac:dyDescent="0.25">
      <c r="A192" s="1410" t="s">
        <v>304</v>
      </c>
      <c r="B192" s="1410"/>
      <c r="C192" s="1410"/>
      <c r="G192" s="69">
        <v>4735</v>
      </c>
      <c r="I192" s="68">
        <v>0.3</v>
      </c>
    </row>
    <row r="193" spans="1:11" ht="16.5" x14ac:dyDescent="0.25">
      <c r="A193" s="1410" t="s">
        <v>305</v>
      </c>
      <c r="B193" s="1410"/>
      <c r="C193" s="1410"/>
      <c r="G193" s="70">
        <v>1383</v>
      </c>
      <c r="I193" s="68">
        <v>0.08</v>
      </c>
    </row>
    <row r="194" spans="1:11" s="1" customFormat="1" ht="17.25" thickBot="1" x14ac:dyDescent="0.3">
      <c r="A194" s="1413" t="s">
        <v>143</v>
      </c>
      <c r="B194" s="1413"/>
      <c r="C194" s="1413"/>
      <c r="D194" s="57"/>
      <c r="E194" s="57"/>
      <c r="F194" s="57"/>
      <c r="G194" s="71">
        <f>SUM(G191:G193)</f>
        <v>15960</v>
      </c>
      <c r="H194" s="57"/>
      <c r="I194" s="72">
        <v>100</v>
      </c>
      <c r="J194" s="57"/>
      <c r="K194" s="57"/>
    </row>
    <row r="195" spans="1:11" ht="17.25" thickTop="1" x14ac:dyDescent="0.25">
      <c r="G195" s="67"/>
      <c r="I195" s="73"/>
    </row>
    <row r="196" spans="1:11" ht="20.25" x14ac:dyDescent="0.3">
      <c r="A196" s="767" t="s">
        <v>306</v>
      </c>
      <c r="B196" s="767"/>
    </row>
    <row r="197" spans="1:11" x14ac:dyDescent="0.2">
      <c r="A197" s="1394" t="s">
        <v>307</v>
      </c>
      <c r="B197" s="1394"/>
      <c r="C197" s="1394"/>
      <c r="D197" s="1394"/>
      <c r="E197" s="1394"/>
      <c r="F197" s="1394"/>
      <c r="G197" s="1394"/>
      <c r="H197" s="1394"/>
      <c r="I197" s="1394"/>
      <c r="J197" s="1394"/>
      <c r="K197" s="1394"/>
    </row>
    <row r="198" spans="1:11" s="57" customFormat="1" ht="33" customHeight="1" x14ac:dyDescent="0.2">
      <c r="A198" s="1394"/>
      <c r="B198" s="1394"/>
      <c r="C198" s="1394"/>
      <c r="D198" s="1394"/>
      <c r="E198" s="1394"/>
      <c r="F198" s="1394"/>
      <c r="G198" s="1394"/>
      <c r="H198" s="1394"/>
      <c r="I198" s="1394"/>
      <c r="J198" s="1394"/>
      <c r="K198" s="1394"/>
    </row>
    <row r="199" spans="1:11" x14ac:dyDescent="0.2">
      <c r="A199" s="1394" t="s">
        <v>308</v>
      </c>
      <c r="B199" s="1394"/>
      <c r="C199" s="1394"/>
      <c r="D199" s="1394"/>
      <c r="E199" s="1394"/>
      <c r="F199" s="1394"/>
      <c r="G199" s="1394"/>
      <c r="H199" s="1394"/>
      <c r="I199" s="1394"/>
      <c r="J199" s="1394"/>
      <c r="K199" s="1394"/>
    </row>
    <row r="200" spans="1:11" ht="21" customHeight="1" x14ac:dyDescent="0.2">
      <c r="A200" s="1394"/>
      <c r="B200" s="1394"/>
      <c r="C200" s="1394"/>
      <c r="D200" s="1394"/>
      <c r="E200" s="1394"/>
      <c r="F200" s="1394"/>
      <c r="G200" s="1394"/>
      <c r="H200" s="1394"/>
      <c r="I200" s="1394"/>
      <c r="J200" s="1394"/>
      <c r="K200" s="1394"/>
    </row>
    <row r="201" spans="1:11" ht="16.5" customHeight="1" x14ac:dyDescent="0.25">
      <c r="A201" s="768"/>
      <c r="B201" s="768"/>
      <c r="C201" s="768"/>
      <c r="D201" s="768"/>
      <c r="E201" s="768"/>
      <c r="F201" s="768"/>
      <c r="G201" s="768"/>
      <c r="H201" s="768"/>
      <c r="I201" s="768"/>
      <c r="J201" s="768"/>
      <c r="K201" s="768"/>
    </row>
    <row r="202" spans="1:11" ht="16.5" customHeight="1" x14ac:dyDescent="0.25">
      <c r="A202" s="768"/>
      <c r="B202" s="768"/>
      <c r="C202" s="768"/>
      <c r="D202" s="768"/>
      <c r="E202" s="768"/>
      <c r="F202" s="768"/>
      <c r="G202" s="768"/>
      <c r="H202" s="768"/>
      <c r="I202" s="768"/>
      <c r="J202" s="768"/>
      <c r="K202" s="768"/>
    </row>
    <row r="203" spans="1:11" ht="24" customHeight="1" x14ac:dyDescent="0.25">
      <c r="A203" s="768"/>
      <c r="B203" s="768"/>
      <c r="C203" s="768"/>
      <c r="D203" s="768"/>
      <c r="E203" s="768"/>
      <c r="F203" s="768"/>
      <c r="G203" s="768"/>
      <c r="H203" s="768"/>
      <c r="I203" s="768"/>
      <c r="J203" s="768"/>
      <c r="K203" s="768"/>
    </row>
    <row r="204" spans="1:11" ht="16.5" customHeight="1" x14ac:dyDescent="0.3">
      <c r="A204" s="767" t="s">
        <v>309</v>
      </c>
      <c r="B204" s="767"/>
    </row>
    <row r="205" spans="1:11" ht="16.5" customHeight="1" x14ac:dyDescent="0.2">
      <c r="A205" s="1394" t="s">
        <v>310</v>
      </c>
      <c r="B205" s="1394"/>
      <c r="C205" s="1394"/>
      <c r="D205" s="1394"/>
      <c r="E205" s="1394"/>
      <c r="F205" s="1394"/>
      <c r="G205" s="1394"/>
      <c r="H205" s="1394"/>
      <c r="I205" s="1394"/>
      <c r="J205" s="1394"/>
      <c r="K205" s="1394"/>
    </row>
    <row r="206" spans="1:11" ht="16.5" customHeight="1" x14ac:dyDescent="0.2">
      <c r="A206" s="1394"/>
      <c r="B206" s="1394"/>
      <c r="C206" s="1394"/>
      <c r="D206" s="1394"/>
      <c r="E206" s="1394"/>
      <c r="F206" s="1394"/>
      <c r="G206" s="1394"/>
      <c r="H206" s="1394"/>
      <c r="I206" s="1394"/>
      <c r="J206" s="1394"/>
      <c r="K206" s="1394"/>
    </row>
    <row r="207" spans="1:11" ht="16.5" customHeight="1" x14ac:dyDescent="0.2">
      <c r="A207" s="1394" t="s">
        <v>311</v>
      </c>
      <c r="B207" s="1394"/>
      <c r="C207" s="1394"/>
      <c r="D207" s="1394"/>
      <c r="E207" s="1394"/>
      <c r="F207" s="1394"/>
      <c r="G207" s="1394"/>
      <c r="H207" s="1394"/>
      <c r="I207" s="1394"/>
      <c r="J207" s="1394"/>
      <c r="K207" s="1394"/>
    </row>
    <row r="208" spans="1:11" ht="25.5" customHeight="1" x14ac:dyDescent="0.2">
      <c r="A208" s="1394"/>
      <c r="B208" s="1394"/>
      <c r="C208" s="1394"/>
      <c r="D208" s="1394"/>
      <c r="E208" s="1394"/>
      <c r="F208" s="1394"/>
      <c r="G208" s="1394"/>
      <c r="H208" s="1394"/>
      <c r="I208" s="1394"/>
      <c r="J208" s="1394"/>
      <c r="K208" s="1394"/>
    </row>
    <row r="209" spans="1:11" ht="16.5" customHeight="1" x14ac:dyDescent="0.25">
      <c r="A209" s="1409"/>
      <c r="B209" s="1409"/>
      <c r="C209" s="1409"/>
      <c r="D209" s="1409"/>
      <c r="E209" s="1409"/>
      <c r="F209" s="1409"/>
      <c r="G209" s="1409"/>
      <c r="H209" s="1409"/>
      <c r="I209" s="1409"/>
      <c r="J209" s="1409"/>
      <c r="K209" s="1409"/>
    </row>
    <row r="210" spans="1:11" ht="16.5" customHeight="1" x14ac:dyDescent="0.25">
      <c r="A210" s="769"/>
      <c r="B210" s="769"/>
    </row>
    <row r="211" spans="1:11" ht="26.25" customHeight="1" x14ac:dyDescent="0.3">
      <c r="A211" s="767" t="s">
        <v>312</v>
      </c>
      <c r="B211" s="767"/>
    </row>
    <row r="212" spans="1:11" ht="16.5" customHeight="1" x14ac:dyDescent="0.2">
      <c r="A212" s="1394" t="s">
        <v>313</v>
      </c>
      <c r="B212" s="1394"/>
      <c r="C212" s="1394"/>
      <c r="D212" s="1394"/>
      <c r="E212" s="1394"/>
      <c r="F212" s="1394"/>
      <c r="G212" s="1394"/>
      <c r="H212" s="1394"/>
      <c r="I212" s="1394"/>
      <c r="J212" s="1394"/>
      <c r="K212" s="1394"/>
    </row>
    <row r="213" spans="1:11" ht="18" customHeight="1" x14ac:dyDescent="0.2">
      <c r="A213" s="1394"/>
      <c r="B213" s="1394"/>
      <c r="C213" s="1394"/>
      <c r="D213" s="1394"/>
      <c r="E213" s="1394"/>
      <c r="F213" s="1394"/>
      <c r="G213" s="1394"/>
      <c r="H213" s="1394"/>
      <c r="I213" s="1394"/>
      <c r="J213" s="1394"/>
      <c r="K213" s="1394"/>
    </row>
    <row r="214" spans="1:11" x14ac:dyDescent="0.2">
      <c r="A214" s="1394" t="s">
        <v>314</v>
      </c>
      <c r="B214" s="1394"/>
      <c r="C214" s="1394"/>
      <c r="D214" s="1394"/>
      <c r="E214" s="1394"/>
      <c r="F214" s="1394"/>
      <c r="G214" s="1394"/>
      <c r="H214" s="1394"/>
      <c r="I214" s="1394"/>
      <c r="J214" s="1394"/>
      <c r="K214" s="1394"/>
    </row>
    <row r="215" spans="1:11" ht="24.75" customHeight="1" x14ac:dyDescent="0.2">
      <c r="A215" s="1394"/>
      <c r="B215" s="1394"/>
      <c r="C215" s="1394"/>
      <c r="D215" s="1394"/>
      <c r="E215" s="1394"/>
      <c r="F215" s="1394"/>
      <c r="G215" s="1394"/>
      <c r="H215" s="1394"/>
      <c r="I215" s="1394"/>
      <c r="J215" s="1394"/>
      <c r="K215" s="1394"/>
    </row>
    <row r="216" spans="1:11" ht="16.5" customHeight="1" x14ac:dyDescent="0.25">
      <c r="A216" s="769"/>
      <c r="B216" s="769"/>
    </row>
    <row r="217" spans="1:11" ht="16.5" customHeight="1" x14ac:dyDescent="0.2">
      <c r="A217" s="74"/>
      <c r="B217" s="74"/>
    </row>
    <row r="218" spans="1:11" ht="22.5" customHeight="1" x14ac:dyDescent="0.3">
      <c r="A218" s="767" t="s">
        <v>315</v>
      </c>
      <c r="B218" s="767"/>
    </row>
    <row r="219" spans="1:11" ht="16.5" customHeight="1" x14ac:dyDescent="0.25">
      <c r="A219" s="769" t="s">
        <v>316</v>
      </c>
      <c r="B219" s="769"/>
    </row>
    <row r="220" spans="1:11" ht="16.5" x14ac:dyDescent="0.25">
      <c r="A220" s="769" t="s">
        <v>317</v>
      </c>
      <c r="B220" s="769"/>
    </row>
    <row r="221" spans="1:11" ht="16.5" customHeight="1" x14ac:dyDescent="0.25">
      <c r="B221" s="75" t="s">
        <v>318</v>
      </c>
    </row>
    <row r="222" spans="1:11" ht="16.5" x14ac:dyDescent="0.25">
      <c r="B222" s="75" t="s">
        <v>319</v>
      </c>
    </row>
    <row r="223" spans="1:11" ht="16.5" x14ac:dyDescent="0.25">
      <c r="B223" s="75" t="s">
        <v>320</v>
      </c>
    </row>
    <row r="224" spans="1:11" ht="16.5" x14ac:dyDescent="0.25">
      <c r="B224" s="75" t="s">
        <v>321</v>
      </c>
    </row>
    <row r="225" spans="1:11" ht="16.5" x14ac:dyDescent="0.25">
      <c r="B225" s="75" t="s">
        <v>322</v>
      </c>
    </row>
    <row r="226" spans="1:11" ht="16.5" x14ac:dyDescent="0.25">
      <c r="B226" s="75" t="s">
        <v>323</v>
      </c>
    </row>
    <row r="227" spans="1:11" ht="16.5" x14ac:dyDescent="0.25">
      <c r="B227" s="75" t="s">
        <v>324</v>
      </c>
    </row>
    <row r="228" spans="1:11" ht="16.5" x14ac:dyDescent="0.25">
      <c r="A228" s="63"/>
      <c r="B228" s="769" t="s">
        <v>325</v>
      </c>
    </row>
    <row r="229" spans="1:11" ht="16.5" x14ac:dyDescent="0.25">
      <c r="A229" s="23" t="s">
        <v>251</v>
      </c>
      <c r="B229" s="23"/>
    </row>
    <row r="230" spans="1:11" x14ac:dyDescent="0.2">
      <c r="A230" s="1394" t="s">
        <v>326</v>
      </c>
      <c r="B230" s="1394"/>
      <c r="C230" s="1394"/>
      <c r="D230" s="1394"/>
      <c r="E230" s="1394"/>
      <c r="F230" s="1394"/>
      <c r="G230" s="1394"/>
      <c r="H230" s="1394"/>
      <c r="I230" s="1394"/>
      <c r="J230" s="1394"/>
      <c r="K230" s="1394"/>
    </row>
    <row r="231" spans="1:11" ht="24" customHeight="1" x14ac:dyDescent="0.2">
      <c r="A231" s="1394"/>
      <c r="B231" s="1394"/>
      <c r="C231" s="1394"/>
      <c r="D231" s="1394"/>
      <c r="E231" s="1394"/>
      <c r="F231" s="1394"/>
      <c r="G231" s="1394"/>
      <c r="H231" s="1394"/>
      <c r="I231" s="1394"/>
      <c r="J231" s="1394"/>
      <c r="K231" s="1394"/>
    </row>
    <row r="232" spans="1:11" ht="16.5" customHeight="1" x14ac:dyDescent="0.25">
      <c r="A232" s="768"/>
      <c r="B232" s="768"/>
      <c r="C232" s="768"/>
      <c r="D232" s="768"/>
      <c r="E232" s="768"/>
      <c r="F232" s="768"/>
      <c r="G232" s="768"/>
      <c r="H232" s="768"/>
      <c r="I232" s="768"/>
      <c r="J232" s="768"/>
      <c r="K232" s="768"/>
    </row>
    <row r="233" spans="1:11" ht="16.5" x14ac:dyDescent="0.25">
      <c r="A233" s="768"/>
      <c r="B233" s="768"/>
      <c r="C233" s="768"/>
      <c r="D233" s="768"/>
      <c r="E233" s="768"/>
      <c r="F233" s="768"/>
      <c r="G233" s="768"/>
      <c r="H233" s="768"/>
      <c r="I233" s="768"/>
      <c r="J233" s="768"/>
      <c r="K233" s="768"/>
    </row>
    <row r="234" spans="1:11" ht="16.5" customHeight="1" x14ac:dyDescent="0.25">
      <c r="A234" s="768"/>
      <c r="B234" s="768"/>
      <c r="C234" s="768"/>
      <c r="D234" s="768"/>
      <c r="E234" s="768"/>
      <c r="F234" s="768"/>
      <c r="G234" s="768"/>
      <c r="H234" s="768"/>
      <c r="I234" s="768"/>
      <c r="J234" s="768"/>
      <c r="K234" s="768"/>
    </row>
    <row r="235" spans="1:11" ht="16.5" customHeight="1" x14ac:dyDescent="0.25">
      <c r="A235" s="768"/>
      <c r="B235" s="768"/>
      <c r="C235" s="768"/>
      <c r="D235" s="768"/>
      <c r="E235" s="768"/>
      <c r="F235" s="768"/>
      <c r="G235" s="768"/>
      <c r="H235" s="768"/>
      <c r="I235" s="768"/>
      <c r="J235" s="768"/>
      <c r="K235" s="768"/>
    </row>
    <row r="236" spans="1:11" ht="16.5" customHeight="1" x14ac:dyDescent="0.25">
      <c r="A236" s="768"/>
      <c r="B236" s="768"/>
      <c r="C236" s="768"/>
      <c r="D236" s="768"/>
      <c r="E236" s="768"/>
      <c r="F236" s="768"/>
      <c r="G236" s="768"/>
      <c r="H236" s="768"/>
      <c r="I236" s="768"/>
      <c r="J236" s="768"/>
      <c r="K236" s="768"/>
    </row>
    <row r="237" spans="1:11" ht="16.5" customHeight="1" x14ac:dyDescent="0.2">
      <c r="A237" s="63"/>
      <c r="B237" s="63"/>
    </row>
    <row r="238" spans="1:11" ht="16.5" customHeight="1" x14ac:dyDescent="0.3">
      <c r="A238" s="767" t="s">
        <v>48</v>
      </c>
      <c r="B238" s="767"/>
    </row>
    <row r="239" spans="1:11" ht="16.5" customHeight="1" x14ac:dyDescent="0.25">
      <c r="A239" s="1410" t="s">
        <v>327</v>
      </c>
      <c r="B239" s="1410"/>
      <c r="C239" s="1410"/>
      <c r="D239" s="1410"/>
      <c r="E239" s="1410"/>
      <c r="F239" s="1410"/>
      <c r="G239" s="1410"/>
      <c r="H239" s="1410"/>
      <c r="I239" s="1410"/>
      <c r="J239" s="1410"/>
      <c r="K239" s="1410"/>
    </row>
    <row r="240" spans="1:11" ht="16.5" customHeight="1" x14ac:dyDescent="0.25">
      <c r="A240" s="1410" t="s">
        <v>328</v>
      </c>
      <c r="B240" s="1410"/>
      <c r="C240" s="1410"/>
      <c r="D240" s="1410"/>
      <c r="E240" s="1410"/>
      <c r="F240" s="1410"/>
      <c r="G240" s="1410"/>
      <c r="H240" s="1410"/>
      <c r="I240" s="1410"/>
      <c r="J240" s="1410"/>
      <c r="K240" s="1410"/>
    </row>
    <row r="241" spans="1:11" ht="16.5" customHeight="1" x14ac:dyDescent="0.25">
      <c r="A241" s="1410" t="s">
        <v>329</v>
      </c>
      <c r="B241" s="1410"/>
      <c r="C241" s="1410"/>
      <c r="D241" s="1410"/>
      <c r="E241" s="1410"/>
      <c r="F241" s="1410"/>
      <c r="G241" s="1410"/>
      <c r="H241" s="1410"/>
      <c r="I241" s="1410"/>
      <c r="J241" s="1410"/>
      <c r="K241" s="1410"/>
    </row>
    <row r="242" spans="1:11" ht="16.5" x14ac:dyDescent="0.25">
      <c r="A242" s="769"/>
      <c r="B242" s="769"/>
      <c r="C242" s="769"/>
      <c r="D242" s="769"/>
      <c r="E242" s="769"/>
      <c r="F242" s="769"/>
      <c r="G242" s="769"/>
      <c r="H242" s="769"/>
      <c r="I242" s="769"/>
      <c r="J242" s="769"/>
      <c r="K242" s="769"/>
    </row>
    <row r="243" spans="1:11" x14ac:dyDescent="0.2">
      <c r="A243" s="63"/>
      <c r="B243" s="63"/>
    </row>
    <row r="244" spans="1:11" ht="20.25" x14ac:dyDescent="0.3">
      <c r="A244" s="767" t="s">
        <v>330</v>
      </c>
      <c r="B244" s="767"/>
    </row>
    <row r="245" spans="1:11" x14ac:dyDescent="0.2">
      <c r="A245" s="1394" t="s">
        <v>331</v>
      </c>
      <c r="B245" s="1394"/>
      <c r="C245" s="1394"/>
      <c r="D245" s="1394"/>
      <c r="E245" s="1394"/>
      <c r="F245" s="1394"/>
      <c r="G245" s="1394"/>
      <c r="H245" s="1394"/>
      <c r="I245" s="1394"/>
      <c r="J245" s="1394"/>
      <c r="K245" s="1394"/>
    </row>
    <row r="246" spans="1:11" ht="18.75" customHeight="1" x14ac:dyDescent="0.2">
      <c r="A246" s="1394"/>
      <c r="B246" s="1394"/>
      <c r="C246" s="1394"/>
      <c r="D246" s="1394"/>
      <c r="E246" s="1394"/>
      <c r="F246" s="1394"/>
      <c r="G246" s="1394"/>
      <c r="H246" s="1394"/>
      <c r="I246" s="1394"/>
      <c r="J246" s="1394"/>
      <c r="K246" s="1394"/>
    </row>
    <row r="247" spans="1:11" ht="16.5" customHeight="1" x14ac:dyDescent="0.25">
      <c r="A247" s="769"/>
      <c r="B247" s="769"/>
    </row>
    <row r="248" spans="1:11" ht="16.5" x14ac:dyDescent="0.25">
      <c r="A248" s="769"/>
      <c r="B248" s="769"/>
    </row>
    <row r="249" spans="1:11" ht="15.75" customHeight="1" x14ac:dyDescent="0.3">
      <c r="A249" s="767" t="s">
        <v>332</v>
      </c>
      <c r="B249" s="767"/>
    </row>
    <row r="250" spans="1:11" ht="16.5" customHeight="1" x14ac:dyDescent="0.25">
      <c r="A250" s="1410" t="s">
        <v>333</v>
      </c>
      <c r="B250" s="1410"/>
      <c r="C250" s="1410"/>
      <c r="D250" s="1410"/>
      <c r="E250" s="1410"/>
      <c r="F250" s="1410"/>
      <c r="G250" s="1410"/>
      <c r="H250" s="1410"/>
      <c r="I250" s="1410"/>
      <c r="J250" s="1410"/>
      <c r="K250" s="1410"/>
    </row>
    <row r="251" spans="1:11" ht="16.5" x14ac:dyDescent="0.25">
      <c r="A251" s="1410" t="s">
        <v>334</v>
      </c>
      <c r="B251" s="1410"/>
      <c r="C251" s="1410"/>
      <c r="D251" s="1410"/>
      <c r="E251" s="1410"/>
      <c r="F251" s="1410"/>
      <c r="G251" s="1410"/>
      <c r="H251" s="1410"/>
      <c r="I251" s="1410"/>
      <c r="J251" s="1410"/>
      <c r="K251" s="1410"/>
    </row>
    <row r="252" spans="1:11" ht="16.5" x14ac:dyDescent="0.25">
      <c r="A252" s="769" t="s">
        <v>335</v>
      </c>
      <c r="B252" s="769"/>
    </row>
    <row r="253" spans="1:11" ht="16.5" x14ac:dyDescent="0.25">
      <c r="A253" s="769"/>
      <c r="B253" s="769"/>
    </row>
    <row r="254" spans="1:11" ht="16.5" x14ac:dyDescent="0.25">
      <c r="A254" s="769"/>
      <c r="B254" s="769" t="s">
        <v>336</v>
      </c>
      <c r="J254" s="76"/>
    </row>
    <row r="255" spans="1:11" ht="16.5" x14ac:dyDescent="0.25">
      <c r="A255" s="769"/>
      <c r="B255" s="1415" t="s">
        <v>337</v>
      </c>
      <c r="C255" s="1415"/>
      <c r="D255" s="1415"/>
      <c r="E255" s="1415"/>
      <c r="F255" s="1405" t="s">
        <v>338</v>
      </c>
      <c r="G255" s="1405"/>
      <c r="H255" s="1405" t="s">
        <v>339</v>
      </c>
      <c r="I255" s="1405"/>
      <c r="J255" s="1405" t="s">
        <v>143</v>
      </c>
      <c r="K255" s="1405"/>
    </row>
    <row r="256" spans="1:11" ht="16.5" x14ac:dyDescent="0.25">
      <c r="A256" s="769"/>
      <c r="B256" s="1402"/>
      <c r="C256" s="1403"/>
      <c r="D256" s="1403"/>
      <c r="E256" s="1404"/>
      <c r="F256" s="1396"/>
      <c r="G256" s="1398"/>
      <c r="H256" s="1396"/>
      <c r="I256" s="1398"/>
      <c r="J256" s="1396"/>
      <c r="K256" s="1398"/>
    </row>
    <row r="257" spans="1:11" ht="16.5" x14ac:dyDescent="0.25">
      <c r="A257" s="769"/>
      <c r="B257" s="1402" t="s">
        <v>340</v>
      </c>
      <c r="C257" s="1403"/>
      <c r="D257" s="1403"/>
      <c r="E257" s="1404"/>
      <c r="F257" s="1416">
        <v>2350</v>
      </c>
      <c r="G257" s="1417"/>
      <c r="H257" s="1416">
        <v>800</v>
      </c>
      <c r="I257" s="1417"/>
      <c r="J257" s="1416">
        <f>H257+F257</f>
        <v>3150</v>
      </c>
      <c r="K257" s="1417"/>
    </row>
    <row r="258" spans="1:11" ht="16.5" x14ac:dyDescent="0.25">
      <c r="A258" s="769"/>
      <c r="B258" s="1402" t="s">
        <v>341</v>
      </c>
      <c r="C258" s="1403"/>
      <c r="D258" s="1403"/>
      <c r="E258" s="1404"/>
      <c r="F258" s="1416">
        <v>0</v>
      </c>
      <c r="G258" s="1417"/>
      <c r="H258" s="1416">
        <v>264</v>
      </c>
      <c r="I258" s="1417"/>
      <c r="J258" s="1416">
        <f>H258+F258</f>
        <v>264</v>
      </c>
      <c r="K258" s="1417"/>
    </row>
    <row r="259" spans="1:11" s="17" customFormat="1" ht="16.5" x14ac:dyDescent="0.25">
      <c r="A259" s="769"/>
      <c r="B259" s="1402" t="s">
        <v>342</v>
      </c>
      <c r="C259" s="1403"/>
      <c r="D259" s="1403"/>
      <c r="E259" s="1404"/>
      <c r="F259" s="1416"/>
      <c r="G259" s="1417"/>
      <c r="H259" s="1416">
        <v>636</v>
      </c>
      <c r="I259" s="1417"/>
      <c r="J259" s="1416">
        <f>H259+F259</f>
        <v>636</v>
      </c>
      <c r="K259" s="1417"/>
    </row>
    <row r="260" spans="1:11" s="17" customFormat="1" ht="16.5" x14ac:dyDescent="0.25">
      <c r="A260" s="25"/>
      <c r="B260" s="1399" t="s">
        <v>343</v>
      </c>
      <c r="C260" s="1400"/>
      <c r="D260" s="1400"/>
      <c r="E260" s="1401"/>
      <c r="F260" s="1418">
        <f>SUM(F257:F259)</f>
        <v>2350</v>
      </c>
      <c r="G260" s="1419"/>
      <c r="H260" s="1418">
        <f>SUM(H257:H259)</f>
        <v>1700</v>
      </c>
      <c r="I260" s="1419"/>
      <c r="J260" s="1418">
        <f>SUM(J257:J259)</f>
        <v>4050</v>
      </c>
      <c r="K260" s="1419"/>
    </row>
    <row r="261" spans="1:11" s="17" customFormat="1" ht="16.5" x14ac:dyDescent="0.25">
      <c r="A261" s="25"/>
      <c r="B261" s="77"/>
      <c r="C261" s="77"/>
      <c r="D261" s="77"/>
      <c r="E261" s="77"/>
      <c r="F261" s="78"/>
      <c r="G261" s="78"/>
      <c r="H261" s="78"/>
      <c r="I261" s="78"/>
      <c r="J261" s="78"/>
      <c r="K261" s="78"/>
    </row>
    <row r="262" spans="1:11" s="17" customFormat="1" ht="16.5" x14ac:dyDescent="0.25">
      <c r="A262" s="25"/>
      <c r="B262" s="77"/>
      <c r="C262" s="77"/>
      <c r="D262" s="77"/>
      <c r="E262" s="77"/>
      <c r="F262" s="78"/>
      <c r="G262" s="78"/>
      <c r="H262" s="78"/>
      <c r="I262" s="78"/>
      <c r="J262" s="78"/>
      <c r="K262" s="78"/>
    </row>
    <row r="263" spans="1:11" s="17" customFormat="1" ht="20.25" x14ac:dyDescent="0.3">
      <c r="A263" s="1414" t="s">
        <v>344</v>
      </c>
      <c r="B263" s="1414"/>
      <c r="C263" s="1414"/>
      <c r="D263" s="1414"/>
      <c r="E263" s="12"/>
      <c r="F263" s="12"/>
      <c r="G263" s="12"/>
      <c r="H263" s="12"/>
      <c r="I263" s="12"/>
      <c r="J263" s="12"/>
      <c r="K263" s="12"/>
    </row>
    <row r="264" spans="1:11" s="36" customFormat="1" ht="16.5" x14ac:dyDescent="0.25">
      <c r="A264" s="1420" t="s">
        <v>345</v>
      </c>
      <c r="B264" s="1420"/>
      <c r="C264" s="1420"/>
      <c r="D264" s="1420"/>
      <c r="E264" s="1420"/>
      <c r="F264" s="1420"/>
      <c r="G264" s="1420"/>
      <c r="H264" s="1420"/>
      <c r="I264" s="1420"/>
      <c r="J264" s="1420"/>
      <c r="K264" s="1420"/>
    </row>
    <row r="265" spans="1:11" s="36" customFormat="1" ht="16.5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</row>
    <row r="266" spans="1:11" s="36" customFormat="1" ht="16.5" x14ac:dyDescent="0.25">
      <c r="A266" s="769"/>
      <c r="B266" s="769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x14ac:dyDescent="0.3">
      <c r="A267" s="767" t="s">
        <v>55</v>
      </c>
      <c r="B267" s="767"/>
    </row>
    <row r="268" spans="1:11" ht="16.5" customHeight="1" x14ac:dyDescent="0.2">
      <c r="A268" s="1394" t="s">
        <v>346</v>
      </c>
      <c r="B268" s="1394"/>
      <c r="C268" s="1394"/>
      <c r="D268" s="1394"/>
      <c r="E268" s="1394"/>
      <c r="F268" s="1394"/>
      <c r="G268" s="1394"/>
      <c r="H268" s="1394"/>
      <c r="I268" s="1394"/>
      <c r="J268" s="1394"/>
      <c r="K268" s="1394"/>
    </row>
    <row r="269" spans="1:11" ht="16.5" customHeight="1" x14ac:dyDescent="0.2">
      <c r="A269" s="1394"/>
      <c r="B269" s="1394"/>
      <c r="C269" s="1394"/>
      <c r="D269" s="1394"/>
      <c r="E269" s="1394"/>
      <c r="F269" s="1394"/>
      <c r="G269" s="1394"/>
      <c r="H269" s="1394"/>
      <c r="I269" s="1394"/>
      <c r="J269" s="1394"/>
      <c r="K269" s="1394"/>
    </row>
    <row r="270" spans="1:11" ht="20.25" x14ac:dyDescent="0.3">
      <c r="A270" s="80"/>
      <c r="B270" s="80"/>
    </row>
    <row r="271" spans="1:11" ht="20.25" x14ac:dyDescent="0.3">
      <c r="A271" s="80"/>
      <c r="B271" s="80"/>
    </row>
    <row r="272" spans="1:11" ht="20.25" x14ac:dyDescent="0.3">
      <c r="A272" s="80"/>
      <c r="B272" s="80"/>
    </row>
    <row r="273" spans="1:11" ht="20.25" x14ac:dyDescent="0.3">
      <c r="A273" s="80"/>
      <c r="B273" s="80"/>
    </row>
    <row r="274" spans="1:11" ht="16.5" customHeight="1" x14ac:dyDescent="0.3">
      <c r="A274" s="1414" t="s">
        <v>347</v>
      </c>
      <c r="B274" s="1414"/>
      <c r="C274" s="1414"/>
      <c r="D274" s="1414"/>
    </row>
    <row r="275" spans="1:11" ht="20.25" customHeight="1" x14ac:dyDescent="0.2">
      <c r="A275" s="1394" t="s">
        <v>348</v>
      </c>
      <c r="B275" s="1394"/>
      <c r="C275" s="1394"/>
      <c r="D275" s="1394"/>
      <c r="E275" s="1394"/>
      <c r="F275" s="1394"/>
      <c r="G275" s="1394"/>
      <c r="H275" s="1394"/>
      <c r="I275" s="1394"/>
      <c r="J275" s="1394"/>
      <c r="K275" s="1394"/>
    </row>
    <row r="276" spans="1:11" x14ac:dyDescent="0.2">
      <c r="A276" s="1394"/>
      <c r="B276" s="1394"/>
      <c r="C276" s="1394"/>
      <c r="D276" s="1394"/>
      <c r="E276" s="1394"/>
      <c r="F276" s="1394"/>
      <c r="G276" s="1394"/>
      <c r="H276" s="1394"/>
      <c r="I276" s="1394"/>
      <c r="J276" s="1394"/>
      <c r="K276" s="1394"/>
    </row>
    <row r="277" spans="1:11" ht="16.5" x14ac:dyDescent="0.25">
      <c r="A277" s="769"/>
      <c r="B277" s="769"/>
      <c r="C277" s="769"/>
      <c r="D277" s="769"/>
      <c r="E277" s="769"/>
      <c r="F277" s="769"/>
      <c r="G277" s="769"/>
      <c r="H277" s="769"/>
      <c r="I277" s="769"/>
      <c r="J277" s="769"/>
      <c r="K277" s="769"/>
    </row>
    <row r="278" spans="1:11" ht="16.5" x14ac:dyDescent="0.25">
      <c r="A278" s="769"/>
      <c r="B278" s="769"/>
      <c r="C278" s="769"/>
      <c r="D278" s="769"/>
      <c r="E278" s="769"/>
      <c r="F278" s="769"/>
      <c r="G278" s="769"/>
      <c r="H278" s="769"/>
      <c r="I278" s="769"/>
      <c r="J278" s="769"/>
      <c r="K278" s="769"/>
    </row>
    <row r="279" spans="1:11" ht="16.5" customHeight="1" x14ac:dyDescent="0.3">
      <c r="A279" s="1414" t="s">
        <v>349</v>
      </c>
      <c r="B279" s="1414"/>
      <c r="C279" s="1414"/>
      <c r="D279" s="1414"/>
      <c r="E279" s="1414"/>
      <c r="F279" s="1414"/>
    </row>
    <row r="280" spans="1:11" ht="16.5" customHeight="1" x14ac:dyDescent="0.2">
      <c r="A280" s="1394" t="s">
        <v>350</v>
      </c>
      <c r="B280" s="1394"/>
      <c r="C280" s="1394"/>
      <c r="D280" s="1394"/>
      <c r="E280" s="1394"/>
      <c r="F280" s="1394"/>
      <c r="G280" s="1394"/>
      <c r="H280" s="1394"/>
      <c r="I280" s="1394"/>
      <c r="J280" s="1394"/>
      <c r="K280" s="1394"/>
    </row>
    <row r="281" spans="1:11" x14ac:dyDescent="0.2">
      <c r="A281" s="1394"/>
      <c r="B281" s="1394"/>
      <c r="C281" s="1394"/>
      <c r="D281" s="1394"/>
      <c r="E281" s="1394"/>
      <c r="F281" s="1394"/>
      <c r="G281" s="1394"/>
      <c r="H281" s="1394"/>
      <c r="I281" s="1394"/>
      <c r="J281" s="1394"/>
      <c r="K281" s="1394"/>
    </row>
    <row r="282" spans="1:11" x14ac:dyDescent="0.2">
      <c r="A282" s="1394"/>
      <c r="B282" s="1394"/>
      <c r="C282" s="1394"/>
      <c r="D282" s="1394"/>
      <c r="E282" s="1394"/>
      <c r="F282" s="1394"/>
      <c r="G282" s="1394"/>
      <c r="H282" s="1394"/>
      <c r="I282" s="1394"/>
      <c r="J282" s="1394"/>
      <c r="K282" s="1394"/>
    </row>
    <row r="284" spans="1:11" ht="16.5" customHeight="1" x14ac:dyDescent="0.2"/>
    <row r="285" spans="1:11" ht="16.5" customHeight="1" x14ac:dyDescent="0.2"/>
  </sheetData>
  <mergeCells count="127">
    <mergeCell ref="A274:D274"/>
    <mergeCell ref="B259:E259"/>
    <mergeCell ref="A264:K264"/>
    <mergeCell ref="B90:D90"/>
    <mergeCell ref="B54:D54"/>
    <mergeCell ref="B63:D63"/>
    <mergeCell ref="B55:D55"/>
    <mergeCell ref="B56:D56"/>
    <mergeCell ref="B65:D65"/>
    <mergeCell ref="B64:D64"/>
    <mergeCell ref="B61:D61"/>
    <mergeCell ref="B62:D62"/>
    <mergeCell ref="B58:D58"/>
    <mergeCell ref="B67:D67"/>
    <mergeCell ref="B57:D57"/>
    <mergeCell ref="A183:K186"/>
    <mergeCell ref="A193:C193"/>
    <mergeCell ref="A176:K177"/>
    <mergeCell ref="A178:K180"/>
    <mergeCell ref="A192:C192"/>
    <mergeCell ref="A182:K182"/>
    <mergeCell ref="H256:I256"/>
    <mergeCell ref="A241:K241"/>
    <mergeCell ref="B256:E256"/>
    <mergeCell ref="A280:K282"/>
    <mergeCell ref="A279:F279"/>
    <mergeCell ref="B255:E255"/>
    <mergeCell ref="F255:G255"/>
    <mergeCell ref="B257:E257"/>
    <mergeCell ref="F258:G258"/>
    <mergeCell ref="B258:E258"/>
    <mergeCell ref="A268:K269"/>
    <mergeCell ref="B260:E260"/>
    <mergeCell ref="J255:K255"/>
    <mergeCell ref="J258:K258"/>
    <mergeCell ref="J260:K260"/>
    <mergeCell ref="F259:G259"/>
    <mergeCell ref="J257:K257"/>
    <mergeCell ref="H257:I257"/>
    <mergeCell ref="J256:K256"/>
    <mergeCell ref="A275:K276"/>
    <mergeCell ref="J259:K259"/>
    <mergeCell ref="H259:I259"/>
    <mergeCell ref="F260:G260"/>
    <mergeCell ref="H260:I260"/>
    <mergeCell ref="F257:G257"/>
    <mergeCell ref="A263:D263"/>
    <mergeCell ref="H258:I258"/>
    <mergeCell ref="F256:G256"/>
    <mergeCell ref="H255:I255"/>
    <mergeCell ref="A251:K251"/>
    <mergeCell ref="B44:D44"/>
    <mergeCell ref="B47:D47"/>
    <mergeCell ref="B45:D45"/>
    <mergeCell ref="B48:D48"/>
    <mergeCell ref="B76:D76"/>
    <mergeCell ref="A245:K246"/>
    <mergeCell ref="A194:C194"/>
    <mergeCell ref="A207:K208"/>
    <mergeCell ref="A199:K200"/>
    <mergeCell ref="B98:D98"/>
    <mergeCell ref="B96:D96"/>
    <mergeCell ref="B93:D93"/>
    <mergeCell ref="B94:D94"/>
    <mergeCell ref="A114:K114"/>
    <mergeCell ref="A191:C191"/>
    <mergeCell ref="A181:K181"/>
    <mergeCell ref="A240:K240"/>
    <mergeCell ref="D155:E155"/>
    <mergeCell ref="A214:K215"/>
    <mergeCell ref="A173:K175"/>
    <mergeCell ref="B77:D77"/>
    <mergeCell ref="B78:D78"/>
    <mergeCell ref="B83:D83"/>
    <mergeCell ref="B80:D80"/>
    <mergeCell ref="A188:K188"/>
    <mergeCell ref="A133:K133"/>
    <mergeCell ref="A37:C37"/>
    <mergeCell ref="B29:K30"/>
    <mergeCell ref="B99:D99"/>
    <mergeCell ref="B81:D81"/>
    <mergeCell ref="B92:D92"/>
    <mergeCell ref="A107:K107"/>
    <mergeCell ref="B95:D95"/>
    <mergeCell ref="B79:D79"/>
    <mergeCell ref="B85:D85"/>
    <mergeCell ref="B88:K88"/>
    <mergeCell ref="B73:K74"/>
    <mergeCell ref="A250:K250"/>
    <mergeCell ref="A197:K198"/>
    <mergeCell ref="A212:K213"/>
    <mergeCell ref="A209:K209"/>
    <mergeCell ref="B82:D82"/>
    <mergeCell ref="B89:D89"/>
    <mergeCell ref="B84:D84"/>
    <mergeCell ref="B86:D86"/>
    <mergeCell ref="A130:K130"/>
    <mergeCell ref="B100:D100"/>
    <mergeCell ref="B97:D97"/>
    <mergeCell ref="B91:D91"/>
    <mergeCell ref="A117:K117"/>
    <mergeCell ref="A230:K231"/>
    <mergeCell ref="A239:K239"/>
    <mergeCell ref="A205:K206"/>
    <mergeCell ref="A126:K127"/>
    <mergeCell ref="A7:E7"/>
    <mergeCell ref="B9:K10"/>
    <mergeCell ref="B11:K12"/>
    <mergeCell ref="B60:D60"/>
    <mergeCell ref="B13:K14"/>
    <mergeCell ref="B15:K16"/>
    <mergeCell ref="B20:K22"/>
    <mergeCell ref="B39:K39"/>
    <mergeCell ref="B40:D40"/>
    <mergeCell ref="B59:D59"/>
    <mergeCell ref="B51:D51"/>
    <mergeCell ref="B53:K53"/>
    <mergeCell ref="B19:K19"/>
    <mergeCell ref="B50:D50"/>
    <mergeCell ref="B31:K32"/>
    <mergeCell ref="B42:D42"/>
    <mergeCell ref="B23:K24"/>
    <mergeCell ref="B17:K18"/>
    <mergeCell ref="B46:D46"/>
    <mergeCell ref="B49:D49"/>
    <mergeCell ref="B43:D43"/>
    <mergeCell ref="B25:K27"/>
  </mergeCells>
  <phoneticPr fontId="49" type="noConversion"/>
  <pageMargins left="0.35433070866141736" right="0.27559055118110237" top="0.39370078740157483" bottom="0.98425196850393704" header="0.51181102362204722" footer="0.51181102362204722"/>
  <pageSetup orientation="portrait" horizontalDpi="4294967293" r:id="rId1"/>
  <headerFooter alignWithMargins="0">
    <oddFooter>&amp;Cעמוד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1:N33"/>
  <sheetViews>
    <sheetView showGridLines="0" rightToLeft="1" view="pageLayout" workbookViewId="0">
      <selection activeCell="B14" sqref="B14"/>
    </sheetView>
  </sheetViews>
  <sheetFormatPr defaultColWidth="9.140625" defaultRowHeight="15" x14ac:dyDescent="0.25"/>
  <cols>
    <col min="1" max="1" width="0.140625" style="81" customWidth="1"/>
    <col min="2" max="2" width="27.7109375" style="81" customWidth="1"/>
    <col min="3" max="3" width="5.5703125" style="81" hidden="1" customWidth="1"/>
    <col min="4" max="4" width="6.85546875" style="81" hidden="1" customWidth="1"/>
    <col min="5" max="5" width="6.7109375" style="81" hidden="1" customWidth="1"/>
    <col min="6" max="6" width="9.5703125" style="81" customWidth="1"/>
    <col min="7" max="7" width="2.7109375" style="100" customWidth="1"/>
    <col min="8" max="8" width="9.5703125" style="81" customWidth="1"/>
    <col min="9" max="9" width="2.7109375" style="81" customWidth="1"/>
    <col min="10" max="10" width="9.5703125" style="81" customWidth="1"/>
    <col min="11" max="11" width="2.7109375" style="81" customWidth="1"/>
    <col min="12" max="12" width="9.5703125" style="81" customWidth="1"/>
    <col min="13" max="13" width="2.7109375" style="81" customWidth="1"/>
    <col min="14" max="14" width="20.7109375" style="81" customWidth="1"/>
    <col min="15" max="16384" width="9.140625" style="81"/>
  </cols>
  <sheetData>
    <row r="1" spans="2:14" ht="24" thickBot="1" x14ac:dyDescent="0.4">
      <c r="B1" s="1421" t="s">
        <v>0</v>
      </c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3"/>
    </row>
    <row r="2" spans="2:14" ht="23.25" x14ac:dyDescent="0.3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14" ht="23.25" x14ac:dyDescent="0.3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5" spans="2:14" ht="19.5" customHeight="1" x14ac:dyDescent="0.3">
      <c r="B5" s="1324" t="s">
        <v>64</v>
      </c>
      <c r="C5" s="1324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</row>
    <row r="6" spans="2:14" s="85" customFormat="1" ht="12.75" customHeight="1" x14ac:dyDescent="0.25">
      <c r="B6" s="83"/>
      <c r="C6" s="551"/>
      <c r="D6" s="551"/>
      <c r="E6" s="551"/>
      <c r="F6" s="83" t="s">
        <v>65</v>
      </c>
      <c r="G6" s="84"/>
      <c r="H6" s="83" t="s">
        <v>66</v>
      </c>
      <c r="I6" s="83"/>
      <c r="J6" s="83" t="s">
        <v>65</v>
      </c>
      <c r="K6" s="83"/>
      <c r="L6" s="83" t="s">
        <v>66</v>
      </c>
      <c r="M6" s="83"/>
      <c r="N6" s="83"/>
    </row>
    <row r="7" spans="2:14" s="85" customFormat="1" ht="12.75" customHeight="1" x14ac:dyDescent="0.25">
      <c r="B7" s="86"/>
      <c r="C7" s="551"/>
      <c r="D7" s="551"/>
      <c r="E7" s="551"/>
      <c r="F7" s="86" t="s">
        <v>68</v>
      </c>
      <c r="G7" s="87"/>
      <c r="H7" s="86" t="s">
        <v>68</v>
      </c>
      <c r="I7" s="86"/>
      <c r="J7" s="86" t="s">
        <v>68</v>
      </c>
      <c r="K7" s="86"/>
      <c r="L7" s="86" t="s">
        <v>68</v>
      </c>
      <c r="M7" s="86"/>
      <c r="N7" s="86" t="s">
        <v>69</v>
      </c>
    </row>
    <row r="8" spans="2:14" s="85" customFormat="1" ht="12.75" customHeight="1" x14ac:dyDescent="0.25">
      <c r="B8" s="88"/>
      <c r="C8" s="551"/>
      <c r="D8" s="551"/>
      <c r="E8" s="551"/>
      <c r="F8" s="88">
        <v>2010</v>
      </c>
      <c r="G8" s="87"/>
      <c r="H8" s="88">
        <v>2011</v>
      </c>
      <c r="I8" s="86"/>
      <c r="J8" s="88">
        <v>2011</v>
      </c>
      <c r="K8" s="86"/>
      <c r="L8" s="88">
        <v>2012</v>
      </c>
      <c r="M8" s="86"/>
      <c r="N8" s="88"/>
    </row>
    <row r="9" spans="2:14" ht="24" customHeight="1" x14ac:dyDescent="0.25">
      <c r="B9" s="89" t="s">
        <v>70</v>
      </c>
      <c r="C9" s="90"/>
      <c r="D9" s="90"/>
      <c r="E9" s="90"/>
      <c r="F9" s="90"/>
      <c r="G9" s="91"/>
      <c r="H9" s="90"/>
      <c r="I9" s="92"/>
      <c r="J9" s="551" t="s">
        <v>351</v>
      </c>
      <c r="K9" s="86"/>
      <c r="L9" s="551" t="s">
        <v>352</v>
      </c>
      <c r="M9" s="92"/>
      <c r="N9" s="90"/>
    </row>
    <row r="10" spans="2:14" x14ac:dyDescent="0.25">
      <c r="B10" s="90" t="s">
        <v>71</v>
      </c>
      <c r="C10" s="90"/>
      <c r="D10" s="90"/>
      <c r="E10" s="90"/>
      <c r="F10" s="90"/>
      <c r="G10" s="91"/>
      <c r="H10" s="90"/>
      <c r="I10" s="92"/>
      <c r="J10" s="90"/>
      <c r="K10" s="92"/>
      <c r="L10" s="90"/>
      <c r="M10" s="92"/>
      <c r="N10" s="90"/>
    </row>
    <row r="11" spans="2:14" x14ac:dyDescent="0.25">
      <c r="B11" s="90" t="s">
        <v>72</v>
      </c>
      <c r="C11" s="90"/>
      <c r="D11" s="90"/>
      <c r="E11" s="90"/>
      <c r="F11" s="93">
        <v>514</v>
      </c>
      <c r="G11" s="94"/>
      <c r="H11" s="93">
        <v>2057</v>
      </c>
      <c r="I11" s="95"/>
      <c r="J11" s="93">
        <v>2351</v>
      </c>
      <c r="K11" s="95"/>
      <c r="L11" s="93">
        <v>2350</v>
      </c>
      <c r="M11" s="92"/>
      <c r="N11" s="90"/>
    </row>
    <row r="12" spans="2:14" x14ac:dyDescent="0.25">
      <c r="B12" s="90" t="s">
        <v>73</v>
      </c>
      <c r="C12" s="90"/>
      <c r="D12" s="90"/>
      <c r="E12" s="90"/>
      <c r="F12" s="93"/>
      <c r="G12" s="94"/>
      <c r="H12" s="93"/>
      <c r="I12" s="95"/>
      <c r="J12" s="93"/>
      <c r="K12" s="95"/>
      <c r="L12" s="93"/>
      <c r="M12" s="92"/>
      <c r="N12" s="90"/>
    </row>
    <row r="13" spans="2:14" x14ac:dyDescent="0.25">
      <c r="B13" s="90" t="s">
        <v>74</v>
      </c>
      <c r="C13" s="90"/>
      <c r="D13" s="90"/>
      <c r="E13" s="90"/>
      <c r="F13" s="93"/>
      <c r="G13" s="94"/>
      <c r="H13" s="93"/>
      <c r="I13" s="95"/>
      <c r="J13" s="93"/>
      <c r="K13" s="95"/>
      <c r="L13" s="93"/>
      <c r="M13" s="92"/>
      <c r="N13" s="90"/>
    </row>
    <row r="14" spans="2:14" x14ac:dyDescent="0.25">
      <c r="B14" s="90" t="s">
        <v>75</v>
      </c>
      <c r="C14" s="90"/>
      <c r="D14" s="90"/>
      <c r="E14" s="90"/>
      <c r="F14" s="93"/>
      <c r="G14" s="94"/>
      <c r="H14" s="93"/>
      <c r="I14" s="95"/>
      <c r="J14" s="93"/>
      <c r="K14" s="95"/>
      <c r="L14" s="93"/>
      <c r="M14" s="92"/>
      <c r="N14" s="90"/>
    </row>
    <row r="15" spans="2:14" x14ac:dyDescent="0.25">
      <c r="B15" s="90" t="s">
        <v>76</v>
      </c>
      <c r="C15" s="90"/>
      <c r="D15" s="90"/>
      <c r="E15" s="90"/>
      <c r="F15" s="93"/>
      <c r="G15" s="94"/>
      <c r="H15" s="93"/>
      <c r="I15" s="95"/>
      <c r="J15" s="93"/>
      <c r="K15" s="95"/>
      <c r="L15" s="93"/>
      <c r="M15" s="92"/>
      <c r="N15" s="90"/>
    </row>
    <row r="16" spans="2:14" x14ac:dyDescent="0.25">
      <c r="B16" s="90" t="s">
        <v>77</v>
      </c>
      <c r="C16" s="90"/>
      <c r="D16" s="90"/>
      <c r="E16" s="90"/>
      <c r="F16" s="93">
        <v>1639</v>
      </c>
      <c r="G16" s="94"/>
      <c r="H16" s="93">
        <v>2077</v>
      </c>
      <c r="I16" s="95"/>
      <c r="J16" s="93">
        <v>1531</v>
      </c>
      <c r="K16" s="95"/>
      <c r="L16" s="93">
        <v>1700</v>
      </c>
      <c r="M16" s="92"/>
      <c r="N16" s="90"/>
    </row>
    <row r="17" spans="2:14" x14ac:dyDescent="0.25">
      <c r="B17" s="90" t="s">
        <v>79</v>
      </c>
      <c r="C17" s="90"/>
      <c r="D17" s="90"/>
      <c r="E17" s="90"/>
      <c r="F17" s="93"/>
      <c r="G17" s="94"/>
      <c r="H17" s="93"/>
      <c r="I17" s="95"/>
      <c r="J17" s="93"/>
      <c r="K17" s="95"/>
      <c r="L17" s="93"/>
      <c r="M17" s="92"/>
      <c r="N17" s="90"/>
    </row>
    <row r="18" spans="2:14" x14ac:dyDescent="0.25">
      <c r="B18" s="90" t="s">
        <v>80</v>
      </c>
      <c r="C18" s="90"/>
      <c r="D18" s="90"/>
      <c r="E18" s="90"/>
      <c r="F18" s="93">
        <v>343</v>
      </c>
      <c r="G18" s="94"/>
      <c r="H18" s="93">
        <v>1343</v>
      </c>
      <c r="I18" s="95"/>
      <c r="J18" s="93">
        <v>473</v>
      </c>
      <c r="K18" s="95"/>
      <c r="L18" s="93">
        <v>1066</v>
      </c>
      <c r="M18" s="92"/>
      <c r="N18" s="90"/>
    </row>
    <row r="19" spans="2:14" x14ac:dyDescent="0.25">
      <c r="B19" s="90" t="s">
        <v>81</v>
      </c>
      <c r="C19" s="90"/>
      <c r="D19" s="90"/>
      <c r="E19" s="90"/>
      <c r="F19" s="93">
        <v>7189</v>
      </c>
      <c r="G19" s="94"/>
      <c r="H19" s="93">
        <v>5796</v>
      </c>
      <c r="I19" s="95"/>
      <c r="J19" s="93">
        <v>7285</v>
      </c>
      <c r="K19" s="95"/>
      <c r="L19" s="93">
        <v>7171</v>
      </c>
      <c r="M19" s="92"/>
      <c r="N19" s="90" t="s">
        <v>82</v>
      </c>
    </row>
    <row r="20" spans="2:14" x14ac:dyDescent="0.25">
      <c r="B20" s="90" t="s">
        <v>83</v>
      </c>
      <c r="C20" s="90"/>
      <c r="D20" s="90"/>
      <c r="E20" s="90"/>
      <c r="F20" s="93">
        <v>680</v>
      </c>
      <c r="G20" s="94"/>
      <c r="H20" s="93">
        <v>795</v>
      </c>
      <c r="I20" s="95"/>
      <c r="J20" s="93">
        <v>545</v>
      </c>
      <c r="K20" s="95"/>
      <c r="L20" s="93">
        <v>560</v>
      </c>
      <c r="M20" s="92"/>
      <c r="N20" s="90"/>
    </row>
    <row r="21" spans="2:14" x14ac:dyDescent="0.25">
      <c r="B21" s="90"/>
      <c r="C21" s="90"/>
      <c r="D21" s="90"/>
      <c r="E21" s="90"/>
      <c r="F21" s="93"/>
      <c r="G21" s="94"/>
      <c r="H21" s="93"/>
      <c r="I21" s="95"/>
      <c r="J21" s="93"/>
      <c r="K21" s="95"/>
      <c r="L21" s="93"/>
      <c r="M21" s="92"/>
      <c r="N21" s="90"/>
    </row>
    <row r="22" spans="2:14" x14ac:dyDescent="0.25">
      <c r="B22" s="90"/>
      <c r="C22" s="90"/>
      <c r="D22" s="90"/>
      <c r="E22" s="90"/>
      <c r="F22" s="93"/>
      <c r="G22" s="94"/>
      <c r="H22" s="93"/>
      <c r="I22" s="95"/>
      <c r="J22" s="93"/>
      <c r="K22" s="95"/>
      <c r="L22" s="93"/>
      <c r="M22" s="92"/>
      <c r="N22" s="90"/>
    </row>
    <row r="23" spans="2:14" x14ac:dyDescent="0.25">
      <c r="B23" s="89" t="s">
        <v>84</v>
      </c>
      <c r="C23" s="90"/>
      <c r="D23" s="90"/>
      <c r="E23" s="90"/>
      <c r="F23" s="93"/>
      <c r="G23" s="94"/>
      <c r="H23" s="93"/>
      <c r="I23" s="95"/>
      <c r="J23" s="93"/>
      <c r="K23" s="95"/>
      <c r="L23" s="93"/>
      <c r="M23" s="92"/>
      <c r="N23" s="90"/>
    </row>
    <row r="24" spans="2:14" x14ac:dyDescent="0.25">
      <c r="B24" s="90" t="s">
        <v>85</v>
      </c>
      <c r="C24" s="90"/>
      <c r="D24" s="90"/>
      <c r="E24" s="90"/>
      <c r="F24" s="93">
        <v>0</v>
      </c>
      <c r="G24" s="94"/>
      <c r="H24" s="93">
        <v>0</v>
      </c>
      <c r="I24" s="95"/>
      <c r="J24" s="93"/>
      <c r="K24" s="95"/>
      <c r="L24" s="93"/>
      <c r="M24" s="92"/>
      <c r="N24" s="90"/>
    </row>
    <row r="25" spans="2:14" x14ac:dyDescent="0.25">
      <c r="B25" s="90" t="s">
        <v>86</v>
      </c>
      <c r="C25" s="90"/>
      <c r="D25" s="90"/>
      <c r="E25" s="90"/>
      <c r="F25" s="93">
        <v>0</v>
      </c>
      <c r="G25" s="94"/>
      <c r="H25" s="93">
        <v>0</v>
      </c>
      <c r="I25" s="95"/>
      <c r="J25" s="93"/>
      <c r="K25" s="95"/>
      <c r="L25" s="93"/>
      <c r="M25" s="92"/>
      <c r="N25" s="90"/>
    </row>
    <row r="26" spans="2:14" x14ac:dyDescent="0.25">
      <c r="B26" s="90" t="s">
        <v>87</v>
      </c>
      <c r="C26" s="90"/>
      <c r="D26" s="90"/>
      <c r="E26" s="90"/>
      <c r="F26" s="93"/>
      <c r="G26" s="94"/>
      <c r="H26" s="93"/>
      <c r="I26" s="95"/>
      <c r="J26" s="93"/>
      <c r="K26" s="95"/>
      <c r="L26" s="93"/>
      <c r="M26" s="92"/>
      <c r="N26" s="90"/>
    </row>
    <row r="27" spans="2:14" x14ac:dyDescent="0.25">
      <c r="B27" s="90" t="s">
        <v>88</v>
      </c>
      <c r="C27" s="90"/>
      <c r="D27" s="90"/>
      <c r="E27" s="90"/>
      <c r="F27" s="93">
        <v>790</v>
      </c>
      <c r="G27" s="94"/>
      <c r="H27" s="93">
        <v>1330</v>
      </c>
      <c r="I27" s="95"/>
      <c r="J27" s="93">
        <v>1197</v>
      </c>
      <c r="K27" s="95"/>
      <c r="L27" s="93">
        <v>1505</v>
      </c>
      <c r="M27" s="92"/>
      <c r="N27" s="90"/>
    </row>
    <row r="28" spans="2:14" x14ac:dyDescent="0.25">
      <c r="B28" s="90" t="s">
        <v>89</v>
      </c>
      <c r="C28" s="90"/>
      <c r="D28" s="90"/>
      <c r="E28" s="90"/>
      <c r="F28" s="93"/>
      <c r="G28" s="94"/>
      <c r="H28" s="93"/>
      <c r="I28" s="95"/>
      <c r="J28" s="93"/>
      <c r="K28" s="95"/>
      <c r="L28" s="93"/>
      <c r="M28" s="92"/>
      <c r="N28" s="90"/>
    </row>
    <row r="29" spans="2:14" x14ac:dyDescent="0.25">
      <c r="B29" s="90" t="s">
        <v>90</v>
      </c>
      <c r="C29" s="90"/>
      <c r="D29" s="90"/>
      <c r="E29" s="90"/>
      <c r="F29" s="93"/>
      <c r="G29" s="94"/>
      <c r="H29" s="93"/>
      <c r="I29" s="95"/>
      <c r="J29" s="93"/>
      <c r="K29" s="95"/>
      <c r="L29" s="93"/>
      <c r="M29" s="92"/>
      <c r="N29" s="90"/>
    </row>
    <row r="30" spans="2:14" x14ac:dyDescent="0.25">
      <c r="B30" s="90" t="s">
        <v>91</v>
      </c>
      <c r="C30" s="90"/>
      <c r="D30" s="90"/>
      <c r="E30" s="90"/>
      <c r="F30" s="93"/>
      <c r="G30" s="94"/>
      <c r="H30" s="93"/>
      <c r="I30" s="95"/>
      <c r="J30" s="93"/>
      <c r="K30" s="95"/>
      <c r="L30" s="93"/>
      <c r="M30" s="92"/>
      <c r="N30" s="90"/>
    </row>
    <row r="31" spans="2:14" x14ac:dyDescent="0.25">
      <c r="B31" s="90" t="s">
        <v>92</v>
      </c>
      <c r="C31" s="90"/>
      <c r="D31" s="90"/>
      <c r="E31" s="90"/>
      <c r="F31" s="93">
        <v>116</v>
      </c>
      <c r="G31" s="94"/>
      <c r="H31" s="93">
        <v>150</v>
      </c>
      <c r="I31" s="95"/>
      <c r="J31" s="93">
        <v>236</v>
      </c>
      <c r="K31" s="95"/>
      <c r="L31" s="93">
        <v>250</v>
      </c>
      <c r="M31" s="92"/>
      <c r="N31" s="90"/>
    </row>
    <row r="32" spans="2:14" x14ac:dyDescent="0.25">
      <c r="B32" s="90" t="s">
        <v>93</v>
      </c>
      <c r="C32" s="90"/>
      <c r="D32" s="90"/>
      <c r="E32" s="90"/>
      <c r="F32" s="93">
        <v>4409</v>
      </c>
      <c r="G32" s="94"/>
      <c r="H32" s="93">
        <v>5960</v>
      </c>
      <c r="I32" s="95"/>
      <c r="J32" s="93">
        <v>5207</v>
      </c>
      <c r="K32" s="95"/>
      <c r="L32" s="93">
        <v>6350</v>
      </c>
      <c r="M32" s="92"/>
      <c r="N32" s="90" t="s">
        <v>94</v>
      </c>
    </row>
    <row r="33" spans="2:14" x14ac:dyDescent="0.25">
      <c r="B33" s="90"/>
      <c r="C33" s="90"/>
      <c r="D33" s="90"/>
      <c r="E33" s="90"/>
      <c r="F33" s="96"/>
      <c r="G33" s="97"/>
      <c r="H33" s="96"/>
      <c r="I33" s="98"/>
      <c r="J33" s="96"/>
      <c r="K33" s="98"/>
      <c r="L33" s="96"/>
      <c r="M33" s="99"/>
      <c r="N33" s="90"/>
    </row>
  </sheetData>
  <mergeCells count="2">
    <mergeCell ref="B1:N1"/>
    <mergeCell ref="B5:N5"/>
  </mergeCells>
  <phoneticPr fontId="0" type="noConversion"/>
  <pageMargins left="0.15748031496062992" right="0.35433070866141736" top="0.98425196850393704" bottom="0.98425196850393704" header="0.51181102362204722" footer="0.51181102362204722"/>
  <pageSetup paperSize="9" orientation="portrait" r:id="rId1"/>
  <headerFooter alignWithMargins="0">
    <oddFooter>עמוד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:O43"/>
  <sheetViews>
    <sheetView showGridLines="0" rightToLeft="1" view="pageLayout" workbookViewId="0">
      <selection activeCell="B14" sqref="B14"/>
    </sheetView>
  </sheetViews>
  <sheetFormatPr defaultRowHeight="12.75" x14ac:dyDescent="0.2"/>
  <cols>
    <col min="1" max="1" width="26.7109375" customWidth="1"/>
    <col min="2" max="2" width="22.140625" hidden="1" customWidth="1"/>
    <col min="3" max="12" width="11.28515625" customWidth="1"/>
  </cols>
  <sheetData>
    <row r="1" spans="1:12" s="12" customFormat="1" ht="22.5" customHeight="1" thickBot="1" x14ac:dyDescent="0.35">
      <c r="A1" s="1424" t="s">
        <v>353</v>
      </c>
      <c r="B1" s="1425"/>
      <c r="C1" s="1425"/>
      <c r="D1" s="1425"/>
      <c r="E1" s="1425"/>
      <c r="F1" s="1425"/>
      <c r="G1" s="1425"/>
      <c r="H1" s="1425"/>
      <c r="I1" s="1425"/>
      <c r="J1" s="1425"/>
      <c r="K1" s="1425"/>
      <c r="L1" s="1426"/>
    </row>
    <row r="2" spans="1:12" s="12" customFormat="1" ht="21" customHeight="1" thickBot="1" x14ac:dyDescent="0.35">
      <c r="A2" s="1427" t="s">
        <v>354</v>
      </c>
      <c r="B2" s="1428"/>
      <c r="C2" s="1428"/>
      <c r="D2" s="1428"/>
      <c r="E2" s="1428"/>
      <c r="F2" s="1428"/>
      <c r="G2" s="1428"/>
      <c r="H2" s="1428"/>
      <c r="I2" s="1428"/>
      <c r="J2" s="1428"/>
      <c r="K2" s="1428"/>
      <c r="L2" s="1429"/>
    </row>
    <row r="3" spans="1:12" s="104" customFormat="1" ht="63.75" thickBot="1" x14ac:dyDescent="0.3">
      <c r="A3" s="101" t="s">
        <v>355</v>
      </c>
      <c r="B3" s="101" t="s">
        <v>356</v>
      </c>
      <c r="C3" s="102" t="s">
        <v>357</v>
      </c>
      <c r="D3" s="102" t="s">
        <v>358</v>
      </c>
      <c r="E3" s="103" t="s">
        <v>359</v>
      </c>
      <c r="F3" s="102" t="s">
        <v>360</v>
      </c>
      <c r="G3" s="103" t="s">
        <v>361</v>
      </c>
      <c r="H3" s="103" t="s">
        <v>362</v>
      </c>
      <c r="I3" s="103" t="s">
        <v>363</v>
      </c>
      <c r="J3" s="102" t="s">
        <v>364</v>
      </c>
      <c r="K3" s="102" t="s">
        <v>365</v>
      </c>
      <c r="L3" s="102" t="s">
        <v>366</v>
      </c>
    </row>
    <row r="4" spans="1:12" s="12" customFormat="1" ht="13.5" customHeight="1" x14ac:dyDescent="0.2">
      <c r="A4" s="105"/>
      <c r="B4" s="105"/>
      <c r="C4" s="106"/>
      <c r="D4" s="107"/>
      <c r="E4" s="108"/>
      <c r="F4" s="107"/>
      <c r="G4" s="109"/>
      <c r="H4" s="109"/>
      <c r="I4" s="109"/>
      <c r="J4" s="109"/>
      <c r="K4" s="109"/>
      <c r="L4" s="109"/>
    </row>
    <row r="5" spans="1:12" s="104" customFormat="1" ht="13.5" customHeight="1" x14ac:dyDescent="0.25">
      <c r="A5" s="110" t="s">
        <v>367</v>
      </c>
      <c r="B5" s="111">
        <v>4651</v>
      </c>
      <c r="C5" s="112">
        <v>9463</v>
      </c>
      <c r="D5" s="111">
        <v>5733</v>
      </c>
      <c r="E5" s="113">
        <v>17254</v>
      </c>
      <c r="F5" s="114">
        <v>17436</v>
      </c>
      <c r="G5" s="114">
        <v>14643</v>
      </c>
      <c r="H5" s="114">
        <v>16083</v>
      </c>
      <c r="I5" s="114">
        <v>19009</v>
      </c>
      <c r="J5" s="114">
        <v>3048</v>
      </c>
      <c r="K5" s="114">
        <v>10381</v>
      </c>
      <c r="L5" s="114">
        <v>4231</v>
      </c>
    </row>
    <row r="6" spans="1:12" s="12" customFormat="1" ht="13.5" customHeight="1" x14ac:dyDescent="0.25">
      <c r="A6" s="105"/>
      <c r="B6" s="105"/>
      <c r="C6" s="106"/>
      <c r="D6" s="107"/>
      <c r="E6" s="108"/>
      <c r="F6" s="115"/>
      <c r="G6" s="115"/>
      <c r="H6" s="115"/>
      <c r="I6" s="115"/>
      <c r="J6" s="114"/>
      <c r="K6" s="115"/>
      <c r="L6" s="114"/>
    </row>
    <row r="7" spans="1:12" s="12" customFormat="1" ht="13.5" customHeight="1" x14ac:dyDescent="0.25">
      <c r="A7" s="116" t="s">
        <v>368</v>
      </c>
      <c r="B7" s="114">
        <v>24170</v>
      </c>
      <c r="C7" s="114">
        <v>44642</v>
      </c>
      <c r="D7" s="114">
        <v>67768</v>
      </c>
      <c r="E7" s="117">
        <v>43500</v>
      </c>
      <c r="F7" s="114">
        <v>31490</v>
      </c>
      <c r="G7" s="114">
        <v>18835</v>
      </c>
      <c r="H7" s="114">
        <v>37245</v>
      </c>
      <c r="I7" s="114">
        <f>H7+10726</f>
        <v>47971</v>
      </c>
      <c r="J7" s="114">
        <v>19108</v>
      </c>
      <c r="K7" s="114">
        <v>32266</v>
      </c>
      <c r="L7" s="114">
        <f>K7+5414</f>
        <v>37680</v>
      </c>
    </row>
    <row r="8" spans="1:12" s="12" customFormat="1" ht="13.5" customHeight="1" x14ac:dyDescent="0.25">
      <c r="A8" s="116"/>
      <c r="B8" s="116"/>
      <c r="C8" s="116"/>
      <c r="D8" s="116"/>
      <c r="E8" s="118"/>
      <c r="F8" s="116"/>
      <c r="G8" s="116"/>
      <c r="H8" s="116"/>
      <c r="I8" s="116"/>
      <c r="J8" s="114"/>
      <c r="K8" s="116"/>
      <c r="L8" s="114"/>
    </row>
    <row r="9" spans="1:12" s="12" customFormat="1" ht="13.5" customHeight="1" x14ac:dyDescent="0.25">
      <c r="A9" s="116" t="s">
        <v>369</v>
      </c>
      <c r="B9" s="114">
        <v>6712</v>
      </c>
      <c r="C9" s="114">
        <v>16507</v>
      </c>
      <c r="D9" s="114">
        <v>15891</v>
      </c>
      <c r="E9" s="117">
        <v>12031</v>
      </c>
      <c r="F9" s="114">
        <v>21452</v>
      </c>
      <c r="G9" s="114">
        <v>21452</v>
      </c>
      <c r="H9" s="114">
        <v>22812</v>
      </c>
      <c r="I9" s="114">
        <v>22812</v>
      </c>
      <c r="J9" s="114">
        <v>8090</v>
      </c>
      <c r="K9" s="114">
        <v>8150</v>
      </c>
      <c r="L9" s="114">
        <v>8150</v>
      </c>
    </row>
    <row r="10" spans="1:12" s="12" customFormat="1" ht="13.5" customHeight="1" x14ac:dyDescent="0.25">
      <c r="A10" s="116"/>
      <c r="B10" s="116"/>
      <c r="C10" s="116"/>
      <c r="D10" s="116"/>
      <c r="E10" s="118"/>
      <c r="F10" s="116"/>
      <c r="G10" s="116"/>
      <c r="H10" s="116"/>
      <c r="I10" s="116"/>
      <c r="J10" s="114"/>
      <c r="K10" s="116"/>
      <c r="L10" s="114"/>
    </row>
    <row r="11" spans="1:12" s="12" customFormat="1" ht="13.5" customHeight="1" x14ac:dyDescent="0.25">
      <c r="A11" s="116" t="s">
        <v>370</v>
      </c>
      <c r="B11" s="114">
        <v>24182</v>
      </c>
      <c r="C11" s="114">
        <v>14947</v>
      </c>
      <c r="D11" s="114">
        <v>16138</v>
      </c>
      <c r="E11" s="117">
        <v>17210</v>
      </c>
      <c r="F11" s="114">
        <v>12965</v>
      </c>
      <c r="G11" s="114">
        <v>11158</v>
      </c>
      <c r="H11" s="114">
        <v>4272</v>
      </c>
      <c r="I11" s="114">
        <v>5500</v>
      </c>
      <c r="J11" s="114">
        <v>2009</v>
      </c>
      <c r="K11" s="114">
        <v>3753</v>
      </c>
      <c r="L11" s="114">
        <v>3753</v>
      </c>
    </row>
    <row r="12" spans="1:12" s="12" customFormat="1" ht="13.5" customHeight="1" x14ac:dyDescent="0.25">
      <c r="A12" s="116"/>
      <c r="B12" s="116"/>
      <c r="C12" s="116"/>
      <c r="D12" s="116"/>
      <c r="E12" s="118"/>
      <c r="F12" s="116"/>
      <c r="G12" s="116"/>
      <c r="H12" s="116"/>
      <c r="I12" s="116"/>
      <c r="J12" s="114"/>
      <c r="K12" s="116"/>
      <c r="L12" s="114"/>
    </row>
    <row r="13" spans="1:12" s="12" customFormat="1" ht="13.5" customHeight="1" x14ac:dyDescent="0.25">
      <c r="A13" s="116" t="s">
        <v>371</v>
      </c>
      <c r="B13" s="114">
        <v>-2857</v>
      </c>
      <c r="C13" s="114">
        <v>-2873</v>
      </c>
      <c r="D13" s="114">
        <v>-2650</v>
      </c>
      <c r="E13" s="117"/>
      <c r="F13" s="114"/>
      <c r="G13" s="114"/>
      <c r="H13" s="114"/>
      <c r="I13" s="114"/>
      <c r="J13" s="114">
        <v>0</v>
      </c>
      <c r="K13" s="114"/>
      <c r="L13" s="114">
        <v>0</v>
      </c>
    </row>
    <row r="14" spans="1:12" s="12" customFormat="1" ht="13.5" customHeight="1" x14ac:dyDescent="0.25">
      <c r="A14" s="116"/>
      <c r="B14" s="116"/>
      <c r="C14" s="116"/>
      <c r="D14" s="116"/>
      <c r="E14" s="118"/>
      <c r="F14" s="116"/>
      <c r="G14" s="116"/>
      <c r="H14" s="116"/>
      <c r="I14" s="116"/>
      <c r="J14" s="114"/>
      <c r="K14" s="116"/>
      <c r="L14" s="114"/>
    </row>
    <row r="15" spans="1:12" s="12" customFormat="1" ht="13.5" customHeight="1" thickBot="1" x14ac:dyDescent="0.3">
      <c r="A15" s="119" t="s">
        <v>372</v>
      </c>
      <c r="B15" s="114">
        <v>-3859</v>
      </c>
      <c r="C15" s="114">
        <v>-3678</v>
      </c>
      <c r="D15" s="114">
        <v>-3661</v>
      </c>
      <c r="E15" s="117"/>
      <c r="F15" s="120">
        <v>1</v>
      </c>
      <c r="G15" s="120">
        <v>1</v>
      </c>
      <c r="H15" s="120">
        <v>1</v>
      </c>
      <c r="I15" s="120">
        <v>1</v>
      </c>
      <c r="J15" s="114">
        <v>0</v>
      </c>
      <c r="K15" s="138">
        <v>131</v>
      </c>
      <c r="L15" s="114">
        <v>131</v>
      </c>
    </row>
    <row r="16" spans="1:12" s="12" customFormat="1" ht="13.5" customHeight="1" x14ac:dyDescent="0.25">
      <c r="A16" s="121"/>
      <c r="B16" s="116"/>
      <c r="C16" s="122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5" s="104" customFormat="1" ht="16.5" thickBot="1" x14ac:dyDescent="0.3">
      <c r="A17" s="124" t="s">
        <v>343</v>
      </c>
      <c r="B17" s="125">
        <f t="shared" ref="B17:L17" si="0">SUM(B5:B16)</f>
        <v>52999</v>
      </c>
      <c r="C17" s="125">
        <f t="shared" si="0"/>
        <v>79008</v>
      </c>
      <c r="D17" s="126">
        <f t="shared" si="0"/>
        <v>99219</v>
      </c>
      <c r="E17" s="126">
        <f t="shared" si="0"/>
        <v>89995</v>
      </c>
      <c r="F17" s="126">
        <f t="shared" si="0"/>
        <v>83344</v>
      </c>
      <c r="G17" s="126">
        <f t="shared" si="0"/>
        <v>66089</v>
      </c>
      <c r="H17" s="126">
        <f t="shared" si="0"/>
        <v>80413</v>
      </c>
      <c r="I17" s="126">
        <f t="shared" si="0"/>
        <v>95293</v>
      </c>
      <c r="J17" s="126">
        <f t="shared" si="0"/>
        <v>32255</v>
      </c>
      <c r="K17" s="126">
        <f t="shared" si="0"/>
        <v>54681</v>
      </c>
      <c r="L17" s="126">
        <f t="shared" si="0"/>
        <v>53945</v>
      </c>
    </row>
    <row r="18" spans="1:15" s="12" customFormat="1" ht="7.5" customHeight="1" x14ac:dyDescent="0.2">
      <c r="A18" s="553"/>
      <c r="B18" s="127"/>
      <c r="C18" s="127"/>
    </row>
    <row r="19" spans="1:15" s="12" customFormat="1" ht="14.25" customHeight="1" thickBot="1" x14ac:dyDescent="0.25">
      <c r="A19" s="553"/>
      <c r="B19" s="127"/>
      <c r="C19" s="127"/>
    </row>
    <row r="20" spans="1:15" s="104" customFormat="1" ht="63.75" thickBot="1" x14ac:dyDescent="0.3">
      <c r="A20" s="101" t="s">
        <v>373</v>
      </c>
      <c r="B20" s="128" t="s">
        <v>356</v>
      </c>
      <c r="C20" s="102" t="s">
        <v>357</v>
      </c>
      <c r="D20" s="102" t="s">
        <v>358</v>
      </c>
      <c r="E20" s="103" t="s">
        <v>359</v>
      </c>
      <c r="F20" s="102" t="s">
        <v>360</v>
      </c>
      <c r="G20" s="103" t="s">
        <v>374</v>
      </c>
      <c r="H20" s="103" t="s">
        <v>362</v>
      </c>
      <c r="I20" s="103" t="s">
        <v>363</v>
      </c>
      <c r="J20" s="102" t="s">
        <v>364</v>
      </c>
      <c r="K20" s="102" t="s">
        <v>365</v>
      </c>
      <c r="L20" s="102" t="s">
        <v>366</v>
      </c>
    </row>
    <row r="21" spans="1:15" s="12" customFormat="1" ht="13.5" customHeight="1" x14ac:dyDescent="0.2">
      <c r="A21" s="105"/>
      <c r="B21" s="129"/>
      <c r="C21" s="130"/>
      <c r="D21" s="131"/>
      <c r="E21" s="108"/>
      <c r="F21" s="109"/>
      <c r="G21" s="132"/>
      <c r="H21" s="132"/>
      <c r="I21" s="132"/>
      <c r="J21" s="109"/>
      <c r="K21" s="132"/>
      <c r="L21" s="109"/>
    </row>
    <row r="22" spans="1:15" s="12" customFormat="1" ht="13.5" customHeight="1" x14ac:dyDescent="0.25">
      <c r="A22" s="116" t="s">
        <v>375</v>
      </c>
      <c r="B22" s="133">
        <v>8315</v>
      </c>
      <c r="C22" s="114">
        <v>4920</v>
      </c>
      <c r="D22" s="134">
        <v>5257</v>
      </c>
      <c r="E22" s="117">
        <v>3766</v>
      </c>
      <c r="F22" s="114">
        <v>2298</v>
      </c>
      <c r="G22" s="117">
        <v>1840</v>
      </c>
      <c r="H22" s="117">
        <v>5648</v>
      </c>
      <c r="I22" s="117">
        <v>5236</v>
      </c>
      <c r="J22" s="114">
        <v>3874</v>
      </c>
      <c r="K22" s="117">
        <v>3605</v>
      </c>
      <c r="L22" s="114">
        <v>4331</v>
      </c>
    </row>
    <row r="23" spans="1:15" s="12" customFormat="1" ht="13.5" customHeight="1" x14ac:dyDescent="0.25">
      <c r="A23" s="116"/>
      <c r="B23" s="135"/>
      <c r="C23" s="116"/>
      <c r="D23" s="136"/>
      <c r="E23" s="118"/>
      <c r="F23" s="116"/>
      <c r="G23" s="118"/>
      <c r="H23" s="118"/>
      <c r="I23" s="118"/>
      <c r="J23" s="116"/>
      <c r="K23" s="118"/>
      <c r="L23" s="116"/>
    </row>
    <row r="24" spans="1:15" s="12" customFormat="1" ht="13.5" customHeight="1" x14ac:dyDescent="0.25">
      <c r="A24" s="116" t="s">
        <v>376</v>
      </c>
      <c r="B24" s="133">
        <v>9318</v>
      </c>
      <c r="C24" s="114">
        <v>17195</v>
      </c>
      <c r="D24" s="134">
        <v>20993</v>
      </c>
      <c r="E24" s="117">
        <v>19870</v>
      </c>
      <c r="F24" s="114">
        <v>10825</v>
      </c>
      <c r="G24" s="117">
        <v>8484</v>
      </c>
      <c r="H24" s="117">
        <v>9670</v>
      </c>
      <c r="I24" s="117">
        <v>12158</v>
      </c>
      <c r="J24" s="114">
        <v>6568</v>
      </c>
      <c r="K24" s="117">
        <v>0</v>
      </c>
      <c r="L24" s="114">
        <v>0</v>
      </c>
    </row>
    <row r="25" spans="1:15" s="12" customFormat="1" ht="13.5" customHeight="1" x14ac:dyDescent="0.25">
      <c r="A25" s="116"/>
      <c r="B25" s="135"/>
      <c r="C25" s="116"/>
      <c r="D25" s="136"/>
      <c r="E25" s="116"/>
      <c r="F25" s="116"/>
      <c r="G25" s="118"/>
      <c r="H25" s="118"/>
      <c r="I25" s="118"/>
      <c r="J25" s="116"/>
      <c r="K25" s="118"/>
      <c r="L25" s="116"/>
    </row>
    <row r="26" spans="1:15" s="12" customFormat="1" ht="13.5" customHeight="1" x14ac:dyDescent="0.25">
      <c r="A26" s="137" t="s">
        <v>377</v>
      </c>
      <c r="B26" s="133">
        <v>35366</v>
      </c>
      <c r="C26" s="114">
        <v>56893</v>
      </c>
      <c r="D26" s="134">
        <v>72969</v>
      </c>
      <c r="E26" s="114">
        <v>66359</v>
      </c>
      <c r="F26" s="138">
        <v>68179</v>
      </c>
      <c r="G26" s="139">
        <v>55216</v>
      </c>
      <c r="H26" s="139">
        <v>64909</v>
      </c>
      <c r="I26" s="139">
        <v>77696</v>
      </c>
      <c r="J26" s="114">
        <v>21813</v>
      </c>
      <c r="K26" s="139">
        <v>50891</v>
      </c>
      <c r="L26" s="114">
        <v>49429</v>
      </c>
    </row>
    <row r="27" spans="1:15" s="12" customFormat="1" ht="13.5" customHeight="1" x14ac:dyDescent="0.25">
      <c r="A27" s="116"/>
      <c r="B27" s="140"/>
      <c r="C27" s="114"/>
      <c r="D27" s="141"/>
      <c r="E27" s="111"/>
      <c r="F27" s="114"/>
      <c r="G27" s="117"/>
      <c r="H27" s="117"/>
      <c r="I27" s="117"/>
      <c r="J27" s="114"/>
      <c r="K27" s="117"/>
      <c r="L27" s="114"/>
      <c r="O27" s="367"/>
    </row>
    <row r="28" spans="1:15" s="12" customFormat="1" ht="13.5" customHeight="1" x14ac:dyDescent="0.25">
      <c r="A28" s="116" t="s">
        <v>372</v>
      </c>
      <c r="B28" s="140"/>
      <c r="C28" s="138"/>
      <c r="D28" s="134"/>
      <c r="E28" s="114"/>
      <c r="F28" s="138">
        <v>1</v>
      </c>
      <c r="G28" s="139">
        <v>1</v>
      </c>
      <c r="H28" s="139">
        <v>1</v>
      </c>
      <c r="I28" s="139">
        <v>1</v>
      </c>
      <c r="J28" s="114">
        <v>0</v>
      </c>
      <c r="K28" s="139">
        <v>54</v>
      </c>
      <c r="L28" s="114">
        <v>54</v>
      </c>
    </row>
    <row r="29" spans="1:15" s="12" customFormat="1" ht="13.5" customHeight="1" x14ac:dyDescent="0.25">
      <c r="A29" s="116"/>
      <c r="B29" s="140"/>
      <c r="C29" s="138"/>
      <c r="D29" s="134"/>
      <c r="E29" s="114"/>
      <c r="F29" s="138"/>
      <c r="G29" s="139"/>
      <c r="H29" s="139"/>
      <c r="I29" s="139"/>
      <c r="J29" s="138"/>
      <c r="K29" s="139"/>
      <c r="L29" s="138"/>
    </row>
    <row r="30" spans="1:15" s="12" customFormat="1" ht="13.5" customHeight="1" thickBot="1" x14ac:dyDescent="0.3">
      <c r="A30" s="119" t="s">
        <v>378</v>
      </c>
      <c r="B30" s="140"/>
      <c r="C30" s="120"/>
      <c r="D30" s="142"/>
      <c r="E30" s="120"/>
      <c r="F30" s="120">
        <v>2041</v>
      </c>
      <c r="G30" s="143">
        <v>548</v>
      </c>
      <c r="H30" s="143">
        <v>185</v>
      </c>
      <c r="I30" s="143">
        <v>202</v>
      </c>
      <c r="J30" s="114">
        <v>0</v>
      </c>
      <c r="K30" s="139">
        <v>131</v>
      </c>
      <c r="L30" s="114">
        <v>131</v>
      </c>
    </row>
    <row r="31" spans="1:15" s="12" customFormat="1" ht="13.5" customHeight="1" x14ac:dyDescent="0.25">
      <c r="A31" s="144"/>
      <c r="B31" s="145"/>
      <c r="C31" s="146"/>
      <c r="D31" s="147"/>
      <c r="E31" s="148"/>
      <c r="F31" s="148"/>
      <c r="G31" s="149"/>
      <c r="H31" s="149"/>
      <c r="I31" s="149"/>
      <c r="J31" s="148"/>
      <c r="K31" s="149"/>
      <c r="L31" s="148"/>
    </row>
    <row r="32" spans="1:15" s="155" customFormat="1" ht="16.5" thickBot="1" x14ac:dyDescent="0.3">
      <c r="A32" s="124" t="s">
        <v>343</v>
      </c>
      <c r="B32" s="150">
        <f t="shared" ref="B32:J32" si="1">SUM(B22:B31)</f>
        <v>52999</v>
      </c>
      <c r="C32" s="126">
        <f t="shared" si="1"/>
        <v>79008</v>
      </c>
      <c r="D32" s="151">
        <f t="shared" si="1"/>
        <v>99219</v>
      </c>
      <c r="E32" s="126">
        <f t="shared" si="1"/>
        <v>89995</v>
      </c>
      <c r="F32" s="126">
        <f t="shared" si="1"/>
        <v>83344</v>
      </c>
      <c r="G32" s="152">
        <f t="shared" si="1"/>
        <v>66089</v>
      </c>
      <c r="H32" s="153">
        <f t="shared" si="1"/>
        <v>80413</v>
      </c>
      <c r="I32" s="153">
        <f t="shared" si="1"/>
        <v>95293</v>
      </c>
      <c r="J32" s="154">
        <f t="shared" si="1"/>
        <v>32255</v>
      </c>
      <c r="K32" s="154">
        <f>SUM(K22:K31)</f>
        <v>54681</v>
      </c>
      <c r="L32" s="154">
        <f>SUM(L22:L31)</f>
        <v>53945</v>
      </c>
    </row>
    <row r="33" spans="1:3" s="12" customFormat="1" x14ac:dyDescent="0.2">
      <c r="A33" s="550"/>
    </row>
    <row r="34" spans="1:3" s="12" customFormat="1" x14ac:dyDescent="0.2">
      <c r="A34" s="553"/>
      <c r="C34" s="553"/>
    </row>
    <row r="35" spans="1:3" s="12" customFormat="1" x14ac:dyDescent="0.2"/>
    <row r="36" spans="1:3" s="12" customFormat="1" x14ac:dyDescent="0.2"/>
    <row r="37" spans="1:3" s="12" customFormat="1" x14ac:dyDescent="0.2"/>
    <row r="38" spans="1:3" s="12" customFormat="1" x14ac:dyDescent="0.2"/>
    <row r="39" spans="1:3" s="12" customFormat="1" x14ac:dyDescent="0.2"/>
    <row r="40" spans="1:3" s="12" customFormat="1" x14ac:dyDescent="0.2"/>
    <row r="41" spans="1:3" s="12" customFormat="1" x14ac:dyDescent="0.2"/>
    <row r="42" spans="1:3" s="12" customFormat="1" x14ac:dyDescent="0.2"/>
    <row r="43" spans="1:3" s="12" customFormat="1" x14ac:dyDescent="0.2"/>
  </sheetData>
  <mergeCells count="2">
    <mergeCell ref="A1:L1"/>
    <mergeCell ref="A2:L2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עמוד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P56"/>
  <sheetViews>
    <sheetView showGridLines="0" rightToLeft="1" view="pageLayout" workbookViewId="0">
      <selection activeCell="B14" sqref="B14"/>
    </sheetView>
  </sheetViews>
  <sheetFormatPr defaultColWidth="9.140625" defaultRowHeight="12.75" x14ac:dyDescent="0.2"/>
  <cols>
    <col min="1" max="1" width="11.7109375" style="196" customWidth="1"/>
    <col min="2" max="2" width="24.42578125" style="196" customWidth="1"/>
    <col min="3" max="3" width="9.85546875" style="196" customWidth="1"/>
    <col min="4" max="5" width="9.7109375" style="196" customWidth="1"/>
    <col min="6" max="8" width="10.28515625" style="196" bestFit="1" customWidth="1"/>
    <col min="9" max="9" width="11.42578125" style="196" customWidth="1"/>
    <col min="10" max="10" width="21.5703125" style="196" customWidth="1"/>
    <col min="11" max="11" width="10.28515625" style="196" bestFit="1" customWidth="1"/>
    <col min="12" max="12" width="9.28515625" style="196" bestFit="1" customWidth="1"/>
    <col min="13" max="14" width="10.28515625" style="196" bestFit="1" customWidth="1"/>
    <col min="15" max="15" width="9.28515625" style="196" bestFit="1" customWidth="1"/>
    <col min="16" max="16" width="10.28515625" style="196" bestFit="1" customWidth="1"/>
    <col min="17" max="16384" width="9.140625" style="196"/>
  </cols>
  <sheetData>
    <row r="1" spans="1:16" s="12" customFormat="1" ht="15.75" x14ac:dyDescent="0.25">
      <c r="M1" s="155" t="s">
        <v>379</v>
      </c>
    </row>
    <row r="2" spans="1:16" s="156" customFormat="1" ht="18.75" x14ac:dyDescent="0.3">
      <c r="A2" s="1430" t="s">
        <v>380</v>
      </c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  <c r="O2" s="1430"/>
      <c r="P2" s="1430"/>
    </row>
    <row r="3" spans="1:16" s="12" customFormat="1" ht="13.5" thickBot="1" x14ac:dyDescent="0.25">
      <c r="A3" s="776"/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</row>
    <row r="4" spans="1:16" s="12" customFormat="1" ht="15" customHeight="1" thickBot="1" x14ac:dyDescent="0.25">
      <c r="A4" s="1431" t="s">
        <v>381</v>
      </c>
      <c r="B4" s="1432"/>
      <c r="C4" s="1432"/>
      <c r="D4" s="1432"/>
      <c r="E4" s="1432"/>
      <c r="F4" s="1432"/>
      <c r="G4" s="1432"/>
      <c r="H4" s="1433"/>
      <c r="I4" s="1431" t="s">
        <v>382</v>
      </c>
      <c r="J4" s="1432"/>
      <c r="K4" s="1432"/>
      <c r="L4" s="1432"/>
      <c r="M4" s="1432"/>
      <c r="N4" s="1432"/>
      <c r="O4" s="1432"/>
      <c r="P4" s="1433"/>
    </row>
    <row r="5" spans="1:16" s="155" customFormat="1" ht="15" customHeight="1" x14ac:dyDescent="0.25">
      <c r="A5" s="157"/>
      <c r="B5" s="158"/>
      <c r="C5" s="1434" t="s">
        <v>383</v>
      </c>
      <c r="D5" s="1435"/>
      <c r="E5" s="1436"/>
      <c r="F5" s="1434" t="s">
        <v>384</v>
      </c>
      <c r="G5" s="1435"/>
      <c r="H5" s="1436"/>
      <c r="I5" s="774"/>
      <c r="J5" s="775"/>
      <c r="K5" s="1434" t="s">
        <v>383</v>
      </c>
      <c r="L5" s="1435"/>
      <c r="M5" s="1436"/>
      <c r="N5" s="1434" t="s">
        <v>384</v>
      </c>
      <c r="O5" s="1435"/>
      <c r="P5" s="1436"/>
    </row>
    <row r="6" spans="1:16" s="162" customFormat="1" ht="15" customHeight="1" x14ac:dyDescent="0.2">
      <c r="A6" s="159" t="s">
        <v>385</v>
      </c>
      <c r="B6" s="160" t="s">
        <v>107</v>
      </c>
      <c r="C6" s="159" t="s">
        <v>386</v>
      </c>
      <c r="D6" s="161" t="s">
        <v>387</v>
      </c>
      <c r="E6" s="160" t="s">
        <v>143</v>
      </c>
      <c r="F6" s="159" t="s">
        <v>386</v>
      </c>
      <c r="G6" s="161" t="s">
        <v>387</v>
      </c>
      <c r="H6" s="160" t="s">
        <v>143</v>
      </c>
      <c r="I6" s="159" t="s">
        <v>385</v>
      </c>
      <c r="J6" s="160" t="s">
        <v>107</v>
      </c>
      <c r="K6" s="159" t="s">
        <v>388</v>
      </c>
      <c r="L6" s="161" t="s">
        <v>389</v>
      </c>
      <c r="M6" s="160" t="s">
        <v>143</v>
      </c>
      <c r="N6" s="159" t="s">
        <v>388</v>
      </c>
      <c r="O6" s="161" t="s">
        <v>389</v>
      </c>
      <c r="P6" s="160" t="s">
        <v>143</v>
      </c>
    </row>
    <row r="7" spans="1:16" s="12" customFormat="1" ht="15" customHeight="1" thickBot="1" x14ac:dyDescent="0.25">
      <c r="A7" s="163"/>
      <c r="B7" s="164"/>
      <c r="C7" s="163"/>
      <c r="D7" s="13"/>
      <c r="E7" s="164"/>
      <c r="F7" s="163"/>
      <c r="G7" s="13"/>
      <c r="H7" s="164"/>
      <c r="I7" s="163"/>
      <c r="J7" s="164"/>
      <c r="K7" s="163"/>
      <c r="L7" s="13"/>
      <c r="M7" s="164"/>
      <c r="N7" s="163"/>
      <c r="O7" s="13"/>
      <c r="P7" s="164"/>
    </row>
    <row r="8" spans="1:16" s="12" customFormat="1" ht="15" customHeight="1" thickBot="1" x14ac:dyDescent="0.25">
      <c r="A8" s="165" t="s">
        <v>390</v>
      </c>
      <c r="B8" s="166"/>
      <c r="C8" s="163"/>
      <c r="D8" s="13"/>
      <c r="E8" s="164"/>
      <c r="F8" s="163"/>
      <c r="G8" s="13"/>
      <c r="H8" s="164"/>
      <c r="I8" s="165" t="s">
        <v>391</v>
      </c>
      <c r="J8" s="166"/>
      <c r="K8" s="163"/>
      <c r="L8" s="13"/>
      <c r="M8" s="164"/>
      <c r="N8" s="163"/>
      <c r="O8" s="13"/>
      <c r="P8" s="164"/>
    </row>
    <row r="9" spans="1:16" s="12" customFormat="1" ht="15" customHeight="1" x14ac:dyDescent="0.2">
      <c r="A9" s="167">
        <v>61</v>
      </c>
      <c r="B9" s="168" t="s">
        <v>121</v>
      </c>
      <c r="C9" s="169">
        <v>1893</v>
      </c>
      <c r="D9" s="170">
        <v>1092</v>
      </c>
      <c r="E9" s="171">
        <f>SUM(C9:D9)</f>
        <v>2985</v>
      </c>
      <c r="F9" s="169"/>
      <c r="G9" s="170"/>
      <c r="H9" s="171">
        <f>SUM(F9:G9)</f>
        <v>0</v>
      </c>
      <c r="I9" s="167">
        <v>11</v>
      </c>
      <c r="J9" s="168" t="s">
        <v>392</v>
      </c>
      <c r="K9" s="169"/>
      <c r="L9" s="170">
        <v>11000</v>
      </c>
      <c r="M9" s="171">
        <f t="shared" ref="M9:M14" si="0">SUM(K9:L9)</f>
        <v>11000</v>
      </c>
      <c r="N9" s="169"/>
      <c r="O9" s="170"/>
      <c r="P9" s="171">
        <f t="shared" ref="P9:P14" si="1">SUM(N9:O9)</f>
        <v>0</v>
      </c>
    </row>
    <row r="10" spans="1:16" s="12" customFormat="1" ht="15" customHeight="1" x14ac:dyDescent="0.2">
      <c r="A10" s="172"/>
      <c r="B10" s="173"/>
      <c r="C10" s="169"/>
      <c r="D10" s="170"/>
      <c r="E10" s="171"/>
      <c r="F10" s="169"/>
      <c r="G10" s="170"/>
      <c r="H10" s="171"/>
      <c r="I10" s="172">
        <v>11</v>
      </c>
      <c r="J10" s="173" t="s">
        <v>393</v>
      </c>
      <c r="K10" s="169"/>
      <c r="L10" s="170">
        <v>4000</v>
      </c>
      <c r="M10" s="171">
        <f t="shared" si="0"/>
        <v>4000</v>
      </c>
      <c r="N10" s="169"/>
      <c r="O10" s="170"/>
      <c r="P10" s="171">
        <f t="shared" si="1"/>
        <v>0</v>
      </c>
    </row>
    <row r="11" spans="1:16" s="12" customFormat="1" ht="15" customHeight="1" x14ac:dyDescent="0.2">
      <c r="A11" s="172">
        <v>62</v>
      </c>
      <c r="B11" s="173" t="s">
        <v>122</v>
      </c>
      <c r="C11" s="169">
        <v>765</v>
      </c>
      <c r="D11" s="170">
        <v>998</v>
      </c>
      <c r="E11" s="171">
        <f>SUM(C11:D11)</f>
        <v>1763</v>
      </c>
      <c r="F11" s="169"/>
      <c r="G11" s="170"/>
      <c r="H11" s="171">
        <f>SUM(F11:G11)</f>
        <v>0</v>
      </c>
      <c r="I11" s="172">
        <v>12</v>
      </c>
      <c r="J11" s="173" t="s">
        <v>394</v>
      </c>
      <c r="K11" s="169"/>
      <c r="L11" s="170">
        <v>0</v>
      </c>
      <c r="M11" s="171">
        <f t="shared" si="0"/>
        <v>0</v>
      </c>
      <c r="N11" s="169"/>
      <c r="O11" s="170"/>
      <c r="P11" s="171">
        <f t="shared" si="1"/>
        <v>0</v>
      </c>
    </row>
    <row r="12" spans="1:16" s="12" customFormat="1" ht="15" customHeight="1" x14ac:dyDescent="0.2">
      <c r="A12" s="172">
        <v>63</v>
      </c>
      <c r="B12" s="173" t="s">
        <v>54</v>
      </c>
      <c r="C12" s="169"/>
      <c r="D12" s="170">
        <v>900</v>
      </c>
      <c r="E12" s="171">
        <f>SUM(C12:D12)</f>
        <v>900</v>
      </c>
      <c r="F12" s="169"/>
      <c r="G12" s="170"/>
      <c r="H12" s="171">
        <f>SUM(F12:G12)</f>
        <v>0</v>
      </c>
      <c r="I12" s="172">
        <v>13</v>
      </c>
      <c r="J12" s="173" t="s">
        <v>395</v>
      </c>
      <c r="K12" s="169"/>
      <c r="L12" s="170"/>
      <c r="M12" s="171">
        <f t="shared" si="0"/>
        <v>0</v>
      </c>
      <c r="N12" s="169"/>
      <c r="O12" s="170"/>
      <c r="P12" s="171">
        <f t="shared" si="1"/>
        <v>0</v>
      </c>
    </row>
    <row r="13" spans="1:16" s="12" customFormat="1" ht="15" customHeight="1" x14ac:dyDescent="0.2">
      <c r="A13" s="172">
        <v>64</v>
      </c>
      <c r="B13" s="173" t="s">
        <v>396</v>
      </c>
      <c r="C13" s="169"/>
      <c r="D13" s="170">
        <v>4134</v>
      </c>
      <c r="E13" s="171">
        <f>SUM(C13:D13)</f>
        <v>4134</v>
      </c>
      <c r="F13" s="169"/>
      <c r="G13" s="170"/>
      <c r="H13" s="171">
        <f>SUM(F13:G13)</f>
        <v>0</v>
      </c>
      <c r="I13" s="172">
        <v>15</v>
      </c>
      <c r="J13" s="173" t="s">
        <v>397</v>
      </c>
      <c r="K13" s="169"/>
      <c r="L13" s="170"/>
      <c r="M13" s="171">
        <f t="shared" si="0"/>
        <v>0</v>
      </c>
      <c r="N13" s="169"/>
      <c r="O13" s="170"/>
      <c r="P13" s="171">
        <f t="shared" si="1"/>
        <v>0</v>
      </c>
    </row>
    <row r="14" spans="1:16" s="12" customFormat="1" ht="15" customHeight="1" x14ac:dyDescent="0.2">
      <c r="A14" s="172"/>
      <c r="B14" s="173"/>
      <c r="C14" s="169"/>
      <c r="D14" s="170"/>
      <c r="E14" s="171">
        <f>SUM(C14:D14)</f>
        <v>0</v>
      </c>
      <c r="F14" s="169"/>
      <c r="G14" s="170"/>
      <c r="H14" s="171">
        <f>SUM(F14:G14)</f>
        <v>0</v>
      </c>
      <c r="I14" s="172">
        <v>19</v>
      </c>
      <c r="J14" s="173" t="s">
        <v>398</v>
      </c>
      <c r="K14" s="169">
        <v>10032</v>
      </c>
      <c r="L14" s="170"/>
      <c r="M14" s="171">
        <f t="shared" si="0"/>
        <v>10032</v>
      </c>
      <c r="N14" s="169"/>
      <c r="O14" s="170"/>
      <c r="P14" s="171">
        <f t="shared" si="1"/>
        <v>0</v>
      </c>
    </row>
    <row r="15" spans="1:16" s="57" customFormat="1" ht="15" customHeight="1" x14ac:dyDescent="0.2">
      <c r="A15" s="174" t="s">
        <v>399</v>
      </c>
      <c r="B15" s="175"/>
      <c r="C15" s="176">
        <f>SUM(C9:C14)</f>
        <v>2658</v>
      </c>
      <c r="D15" s="176">
        <f>SUM(D9:D14)</f>
        <v>7124</v>
      </c>
      <c r="E15" s="177">
        <f>C15+D15</f>
        <v>9782</v>
      </c>
      <c r="F15" s="176">
        <f>SUM(F9:F14)</f>
        <v>0</v>
      </c>
      <c r="G15" s="176">
        <f>SUM(G9:G14)</f>
        <v>0</v>
      </c>
      <c r="H15" s="177">
        <f>G15+F15</f>
        <v>0</v>
      </c>
      <c r="I15" s="174" t="s">
        <v>400</v>
      </c>
      <c r="J15" s="175"/>
      <c r="K15" s="176">
        <f>SUM(K9:K14)</f>
        <v>10032</v>
      </c>
      <c r="L15" s="176">
        <f>SUM(L9:L14)</f>
        <v>15000</v>
      </c>
      <c r="M15" s="177">
        <f>K15+L15</f>
        <v>25032</v>
      </c>
      <c r="N15" s="176">
        <f>SUM(N9:N14)</f>
        <v>0</v>
      </c>
      <c r="O15" s="176">
        <f>SUM(O9:O14)</f>
        <v>0</v>
      </c>
      <c r="P15" s="177">
        <f>N15+O15</f>
        <v>0</v>
      </c>
    </row>
    <row r="16" spans="1:16" s="12" customFormat="1" ht="15" customHeight="1" thickBot="1" x14ac:dyDescent="0.25">
      <c r="A16" s="163"/>
      <c r="B16" s="164"/>
      <c r="C16" s="178"/>
      <c r="D16" s="179"/>
      <c r="E16" s="171"/>
      <c r="F16" s="178"/>
      <c r="G16" s="179"/>
      <c r="H16" s="171"/>
      <c r="I16" s="163"/>
      <c r="J16" s="164"/>
      <c r="K16" s="178"/>
      <c r="L16" s="179"/>
      <c r="M16" s="171"/>
      <c r="N16" s="178"/>
      <c r="O16" s="179"/>
      <c r="P16" s="180"/>
    </row>
    <row r="17" spans="1:16" s="12" customFormat="1" ht="15" customHeight="1" thickBot="1" x14ac:dyDescent="0.25">
      <c r="A17" s="165" t="s">
        <v>401</v>
      </c>
      <c r="B17" s="166"/>
      <c r="C17" s="178"/>
      <c r="D17" s="179"/>
      <c r="E17" s="171"/>
      <c r="F17" s="178"/>
      <c r="G17" s="179"/>
      <c r="H17" s="171"/>
      <c r="I17" s="165" t="s">
        <v>402</v>
      </c>
      <c r="J17" s="166"/>
      <c r="K17" s="178"/>
      <c r="L17" s="179"/>
      <c r="M17" s="171"/>
      <c r="N17" s="178"/>
      <c r="O17" s="179"/>
      <c r="P17" s="180"/>
    </row>
    <row r="18" spans="1:16" s="12" customFormat="1" ht="15" customHeight="1" x14ac:dyDescent="0.2">
      <c r="A18" s="167">
        <v>71</v>
      </c>
      <c r="B18" s="168" t="s">
        <v>124</v>
      </c>
      <c r="C18" s="169">
        <v>263</v>
      </c>
      <c r="D18" s="170">
        <v>2520</v>
      </c>
      <c r="E18" s="171">
        <f t="shared" ref="E18:E24" si="2">SUM(C18:D18)</f>
        <v>2783</v>
      </c>
      <c r="F18" s="169"/>
      <c r="G18" s="170"/>
      <c r="H18" s="171">
        <f t="shared" ref="H18:H24" si="3">SUM(F18:G18)</f>
        <v>0</v>
      </c>
      <c r="I18" s="167">
        <v>21</v>
      </c>
      <c r="J18" s="168" t="s">
        <v>124</v>
      </c>
      <c r="K18" s="169"/>
      <c r="L18" s="170">
        <v>106</v>
      </c>
      <c r="M18" s="171">
        <f t="shared" ref="M18:M24" si="4">SUM(K18:L18)</f>
        <v>106</v>
      </c>
      <c r="N18" s="169"/>
      <c r="O18" s="170"/>
      <c r="P18" s="171">
        <f t="shared" ref="P18:P24" si="5">SUM(N18:O18)</f>
        <v>0</v>
      </c>
    </row>
    <row r="19" spans="1:16" s="12" customFormat="1" ht="15" customHeight="1" x14ac:dyDescent="0.2">
      <c r="A19" s="172">
        <v>72</v>
      </c>
      <c r="B19" s="173" t="s">
        <v>403</v>
      </c>
      <c r="C19" s="169"/>
      <c r="D19" s="170">
        <v>646</v>
      </c>
      <c r="E19" s="171">
        <f t="shared" si="2"/>
        <v>646</v>
      </c>
      <c r="F19" s="169"/>
      <c r="G19" s="170"/>
      <c r="H19" s="171">
        <f t="shared" si="3"/>
        <v>0</v>
      </c>
      <c r="I19" s="172">
        <v>22</v>
      </c>
      <c r="J19" s="173" t="s">
        <v>403</v>
      </c>
      <c r="K19" s="169"/>
      <c r="L19" s="170"/>
      <c r="M19" s="171">
        <f t="shared" si="4"/>
        <v>0</v>
      </c>
      <c r="N19" s="169"/>
      <c r="O19" s="170"/>
      <c r="P19" s="171">
        <f t="shared" si="5"/>
        <v>0</v>
      </c>
    </row>
    <row r="20" spans="1:16" s="12" customFormat="1" ht="15" customHeight="1" x14ac:dyDescent="0.2">
      <c r="A20" s="172">
        <v>73</v>
      </c>
      <c r="B20" s="173" t="s">
        <v>404</v>
      </c>
      <c r="C20" s="169">
        <v>541</v>
      </c>
      <c r="D20" s="170">
        <v>802</v>
      </c>
      <c r="E20" s="171">
        <f t="shared" si="2"/>
        <v>1343</v>
      </c>
      <c r="F20" s="169"/>
      <c r="G20" s="170"/>
      <c r="H20" s="171">
        <f t="shared" si="3"/>
        <v>0</v>
      </c>
      <c r="I20" s="172">
        <v>23</v>
      </c>
      <c r="J20" s="173" t="s">
        <v>404</v>
      </c>
      <c r="K20" s="169"/>
      <c r="L20" s="170">
        <v>100</v>
      </c>
      <c r="M20" s="171">
        <f t="shared" si="4"/>
        <v>100</v>
      </c>
      <c r="N20" s="169"/>
      <c r="O20" s="170"/>
      <c r="P20" s="171">
        <f t="shared" si="5"/>
        <v>0</v>
      </c>
    </row>
    <row r="21" spans="1:16" s="12" customFormat="1" ht="15" customHeight="1" x14ac:dyDescent="0.2">
      <c r="A21" s="172">
        <v>74</v>
      </c>
      <c r="B21" s="173" t="s">
        <v>127</v>
      </c>
      <c r="C21" s="169">
        <v>568</v>
      </c>
      <c r="D21" s="170">
        <v>1011</v>
      </c>
      <c r="E21" s="171">
        <f t="shared" si="2"/>
        <v>1579</v>
      </c>
      <c r="F21" s="169"/>
      <c r="G21" s="170"/>
      <c r="H21" s="171">
        <f t="shared" si="3"/>
        <v>0</v>
      </c>
      <c r="I21" s="172">
        <v>24</v>
      </c>
      <c r="J21" s="173" t="s">
        <v>127</v>
      </c>
      <c r="K21" s="169"/>
      <c r="L21" s="170">
        <v>150</v>
      </c>
      <c r="M21" s="171">
        <f t="shared" si="4"/>
        <v>150</v>
      </c>
      <c r="N21" s="169"/>
      <c r="O21" s="170"/>
      <c r="P21" s="171">
        <f t="shared" si="5"/>
        <v>0</v>
      </c>
    </row>
    <row r="22" spans="1:16" s="12" customFormat="1" ht="15" customHeight="1" x14ac:dyDescent="0.2">
      <c r="A22" s="172">
        <v>75</v>
      </c>
      <c r="B22" s="173" t="s">
        <v>405</v>
      </c>
      <c r="C22" s="169"/>
      <c r="D22" s="170">
        <v>30</v>
      </c>
      <c r="E22" s="171">
        <f t="shared" si="2"/>
        <v>30</v>
      </c>
      <c r="F22" s="169"/>
      <c r="G22" s="170"/>
      <c r="H22" s="171">
        <f t="shared" si="3"/>
        <v>0</v>
      </c>
      <c r="I22" s="172">
        <v>25</v>
      </c>
      <c r="J22" s="173" t="s">
        <v>405</v>
      </c>
      <c r="K22" s="169"/>
      <c r="L22" s="170"/>
      <c r="M22" s="171">
        <f t="shared" si="4"/>
        <v>0</v>
      </c>
      <c r="N22" s="169"/>
      <c r="O22" s="170"/>
      <c r="P22" s="171">
        <f t="shared" si="5"/>
        <v>0</v>
      </c>
    </row>
    <row r="23" spans="1:16" s="12" customFormat="1" ht="15" customHeight="1" x14ac:dyDescent="0.2">
      <c r="A23" s="172">
        <v>76</v>
      </c>
      <c r="B23" s="173" t="s">
        <v>406</v>
      </c>
      <c r="C23" s="169"/>
      <c r="D23" s="170">
        <v>300</v>
      </c>
      <c r="E23" s="171">
        <f t="shared" si="2"/>
        <v>300</v>
      </c>
      <c r="F23" s="169"/>
      <c r="G23" s="170"/>
      <c r="H23" s="171">
        <f t="shared" si="3"/>
        <v>0</v>
      </c>
      <c r="I23" s="172">
        <v>26</v>
      </c>
      <c r="J23" s="173" t="s">
        <v>406</v>
      </c>
      <c r="K23" s="169"/>
      <c r="L23" s="170">
        <v>510</v>
      </c>
      <c r="M23" s="171">
        <f t="shared" si="4"/>
        <v>510</v>
      </c>
      <c r="N23" s="169"/>
      <c r="O23" s="170"/>
      <c r="P23" s="171">
        <f t="shared" si="5"/>
        <v>0</v>
      </c>
    </row>
    <row r="24" spans="1:16" s="12" customFormat="1" ht="15" customHeight="1" x14ac:dyDescent="0.2">
      <c r="A24" s="172">
        <v>77</v>
      </c>
      <c r="B24" s="173" t="s">
        <v>407</v>
      </c>
      <c r="C24" s="169"/>
      <c r="D24" s="170"/>
      <c r="E24" s="171">
        <f t="shared" si="2"/>
        <v>0</v>
      </c>
      <c r="F24" s="169"/>
      <c r="G24" s="170"/>
      <c r="H24" s="171">
        <f t="shared" si="3"/>
        <v>0</v>
      </c>
      <c r="I24" s="172">
        <v>28</v>
      </c>
      <c r="J24" s="173" t="s">
        <v>407</v>
      </c>
      <c r="K24" s="169"/>
      <c r="L24" s="170"/>
      <c r="M24" s="171">
        <f t="shared" si="4"/>
        <v>0</v>
      </c>
      <c r="N24" s="169"/>
      <c r="O24" s="170"/>
      <c r="P24" s="171">
        <f t="shared" si="5"/>
        <v>0</v>
      </c>
    </row>
    <row r="25" spans="1:16" s="57" customFormat="1" ht="15" customHeight="1" x14ac:dyDescent="0.2">
      <c r="A25" s="174" t="s">
        <v>408</v>
      </c>
      <c r="B25" s="175"/>
      <c r="C25" s="176">
        <f>SUM(C18:C24)</f>
        <v>1372</v>
      </c>
      <c r="D25" s="176">
        <f>SUM(D18:D24)</f>
        <v>5309</v>
      </c>
      <c r="E25" s="177">
        <f>C25+D25</f>
        <v>6681</v>
      </c>
      <c r="F25" s="176">
        <f>SUM(F18:F24)</f>
        <v>0</v>
      </c>
      <c r="G25" s="176">
        <f>SUM(G18:G24)</f>
        <v>0</v>
      </c>
      <c r="H25" s="177">
        <f>G25+F25</f>
        <v>0</v>
      </c>
      <c r="I25" s="174" t="s">
        <v>409</v>
      </c>
      <c r="J25" s="175"/>
      <c r="K25" s="176">
        <f>SUM(K18:K24)</f>
        <v>0</v>
      </c>
      <c r="L25" s="176">
        <f>SUM(L18:L24)</f>
        <v>866</v>
      </c>
      <c r="M25" s="177">
        <f>K25+L25</f>
        <v>866</v>
      </c>
      <c r="N25" s="176">
        <f>SUM(N18:N24)</f>
        <v>0</v>
      </c>
      <c r="O25" s="176">
        <f>SUM(O18:O24)</f>
        <v>0</v>
      </c>
      <c r="P25" s="176">
        <f>SUM(P18:P24)</f>
        <v>0</v>
      </c>
    </row>
    <row r="26" spans="1:16" s="12" customFormat="1" ht="15" customHeight="1" thickBot="1" x14ac:dyDescent="0.25">
      <c r="A26" s="163"/>
      <c r="B26" s="164"/>
      <c r="C26" s="178"/>
      <c r="D26" s="179"/>
      <c r="E26" s="171"/>
      <c r="F26" s="178"/>
      <c r="G26" s="179"/>
      <c r="H26" s="171"/>
      <c r="I26" s="163"/>
      <c r="J26" s="164"/>
      <c r="K26" s="178"/>
      <c r="L26" s="179"/>
      <c r="M26" s="171"/>
      <c r="N26" s="178"/>
      <c r="O26" s="179"/>
      <c r="P26" s="180"/>
    </row>
    <row r="27" spans="1:16" s="12" customFormat="1" ht="15" customHeight="1" thickBot="1" x14ac:dyDescent="0.25">
      <c r="A27" s="165" t="s">
        <v>410</v>
      </c>
      <c r="B27" s="166"/>
      <c r="C27" s="178"/>
      <c r="D27" s="179"/>
      <c r="E27" s="171"/>
      <c r="F27" s="178"/>
      <c r="G27" s="179"/>
      <c r="H27" s="171"/>
      <c r="I27" s="181" t="s">
        <v>411</v>
      </c>
      <c r="J27" s="166"/>
      <c r="K27" s="178"/>
      <c r="L27" s="179"/>
      <c r="M27" s="171"/>
      <c r="N27" s="178"/>
      <c r="O27" s="179"/>
      <c r="P27" s="180"/>
    </row>
    <row r="28" spans="1:16" s="12" customFormat="1" ht="15" customHeight="1" x14ac:dyDescent="0.2">
      <c r="A28" s="167">
        <v>81</v>
      </c>
      <c r="B28" s="168" t="s">
        <v>131</v>
      </c>
      <c r="C28" s="169">
        <v>4736</v>
      </c>
      <c r="D28" s="170">
        <v>6190</v>
      </c>
      <c r="E28" s="171">
        <f t="shared" ref="E28:E34" si="6">SUM(C28:D28)</f>
        <v>10926</v>
      </c>
      <c r="F28" s="169"/>
      <c r="G28" s="170"/>
      <c r="H28" s="171">
        <f t="shared" ref="H28:H34" si="7">SUM(F28:G28)</f>
        <v>0</v>
      </c>
      <c r="I28" s="167">
        <v>31</v>
      </c>
      <c r="J28" s="168" t="s">
        <v>131</v>
      </c>
      <c r="K28" s="169">
        <v>9065</v>
      </c>
      <c r="L28" s="170">
        <v>500</v>
      </c>
      <c r="M28" s="171">
        <f t="shared" ref="M28:M34" si="8">SUM(K28:L28)</f>
        <v>9565</v>
      </c>
      <c r="N28" s="169"/>
      <c r="O28" s="170"/>
      <c r="P28" s="171">
        <f t="shared" ref="P28:P34" si="9">SUM(N28:O28)</f>
        <v>0</v>
      </c>
    </row>
    <row r="29" spans="1:16" s="12" customFormat="1" ht="15" customHeight="1" x14ac:dyDescent="0.2">
      <c r="A29" s="172">
        <v>82</v>
      </c>
      <c r="B29" s="173" t="s">
        <v>132</v>
      </c>
      <c r="C29" s="169">
        <v>820</v>
      </c>
      <c r="D29" s="170">
        <v>847</v>
      </c>
      <c r="E29" s="171">
        <f t="shared" si="6"/>
        <v>1667</v>
      </c>
      <c r="F29" s="169"/>
      <c r="G29" s="170"/>
      <c r="H29" s="171">
        <f t="shared" si="7"/>
        <v>0</v>
      </c>
      <c r="I29" s="172">
        <v>32</v>
      </c>
      <c r="J29" s="173" t="s">
        <v>132</v>
      </c>
      <c r="K29" s="169">
        <v>200</v>
      </c>
      <c r="L29" s="170">
        <v>350</v>
      </c>
      <c r="M29" s="171">
        <f t="shared" si="8"/>
        <v>550</v>
      </c>
      <c r="N29" s="169"/>
      <c r="O29" s="170"/>
      <c r="P29" s="171">
        <f t="shared" si="9"/>
        <v>0</v>
      </c>
    </row>
    <row r="30" spans="1:16" s="12" customFormat="1" ht="15" customHeight="1" x14ac:dyDescent="0.2">
      <c r="A30" s="172">
        <v>83</v>
      </c>
      <c r="B30" s="173" t="s">
        <v>133</v>
      </c>
      <c r="C30" s="169">
        <v>120</v>
      </c>
      <c r="D30" s="170">
        <v>151</v>
      </c>
      <c r="E30" s="171">
        <f t="shared" si="6"/>
        <v>271</v>
      </c>
      <c r="F30" s="169"/>
      <c r="G30" s="170"/>
      <c r="H30" s="171">
        <f t="shared" si="7"/>
        <v>0</v>
      </c>
      <c r="I30" s="172">
        <v>33</v>
      </c>
      <c r="J30" s="173" t="s">
        <v>133</v>
      </c>
      <c r="K30" s="169"/>
      <c r="L30" s="170">
        <v>0</v>
      </c>
      <c r="M30" s="171">
        <f t="shared" si="8"/>
        <v>0</v>
      </c>
      <c r="N30" s="169"/>
      <c r="O30" s="170"/>
      <c r="P30" s="171">
        <f t="shared" si="9"/>
        <v>0</v>
      </c>
    </row>
    <row r="31" spans="1:16" s="12" customFormat="1" ht="15" customHeight="1" x14ac:dyDescent="0.2">
      <c r="A31" s="172">
        <v>84</v>
      </c>
      <c r="B31" s="173" t="s">
        <v>134</v>
      </c>
      <c r="C31" s="169">
        <v>1146</v>
      </c>
      <c r="D31" s="170">
        <v>3261</v>
      </c>
      <c r="E31" s="171">
        <f t="shared" si="6"/>
        <v>4407</v>
      </c>
      <c r="F31" s="169"/>
      <c r="G31" s="170"/>
      <c r="H31" s="171">
        <f t="shared" si="7"/>
        <v>0</v>
      </c>
      <c r="I31" s="172">
        <v>34</v>
      </c>
      <c r="J31" s="173" t="s">
        <v>134</v>
      </c>
      <c r="K31" s="169">
        <v>2927</v>
      </c>
      <c r="L31" s="170">
        <v>0</v>
      </c>
      <c r="M31" s="171">
        <f t="shared" si="8"/>
        <v>2927</v>
      </c>
      <c r="N31" s="169"/>
      <c r="O31" s="170"/>
      <c r="P31" s="171">
        <f t="shared" si="9"/>
        <v>0</v>
      </c>
    </row>
    <row r="32" spans="1:16" s="12" customFormat="1" ht="15" customHeight="1" x14ac:dyDescent="0.2">
      <c r="A32" s="172">
        <v>85</v>
      </c>
      <c r="B32" s="173" t="s">
        <v>135</v>
      </c>
      <c r="C32" s="169"/>
      <c r="D32" s="170">
        <v>45</v>
      </c>
      <c r="E32" s="171">
        <f t="shared" si="6"/>
        <v>45</v>
      </c>
      <c r="F32" s="169"/>
      <c r="G32" s="170"/>
      <c r="H32" s="171">
        <f t="shared" si="7"/>
        <v>0</v>
      </c>
      <c r="I32" s="172">
        <v>35</v>
      </c>
      <c r="J32" s="173" t="s">
        <v>135</v>
      </c>
      <c r="K32" s="169"/>
      <c r="L32" s="170"/>
      <c r="M32" s="171">
        <f t="shared" si="8"/>
        <v>0</v>
      </c>
      <c r="N32" s="169"/>
      <c r="O32" s="170"/>
      <c r="P32" s="171">
        <f t="shared" si="9"/>
        <v>0</v>
      </c>
    </row>
    <row r="33" spans="1:16" s="12" customFormat="1" ht="15" customHeight="1" x14ac:dyDescent="0.2">
      <c r="A33" s="172">
        <v>86</v>
      </c>
      <c r="B33" s="173" t="s">
        <v>412</v>
      </c>
      <c r="C33" s="169"/>
      <c r="D33" s="170"/>
      <c r="E33" s="171">
        <f t="shared" si="6"/>
        <v>0</v>
      </c>
      <c r="F33" s="169"/>
      <c r="G33" s="170"/>
      <c r="H33" s="171">
        <f t="shared" si="7"/>
        <v>0</v>
      </c>
      <c r="I33" s="172">
        <v>36</v>
      </c>
      <c r="J33" s="173" t="s">
        <v>412</v>
      </c>
      <c r="K33" s="169"/>
      <c r="L33" s="170"/>
      <c r="M33" s="171">
        <f t="shared" si="8"/>
        <v>0</v>
      </c>
      <c r="N33" s="169"/>
      <c r="O33" s="170"/>
      <c r="P33" s="171">
        <f t="shared" si="9"/>
        <v>0</v>
      </c>
    </row>
    <row r="34" spans="1:16" s="12" customFormat="1" ht="15" customHeight="1" x14ac:dyDescent="0.2">
      <c r="A34" s="172">
        <v>87</v>
      </c>
      <c r="B34" s="173" t="s">
        <v>413</v>
      </c>
      <c r="C34" s="169">
        <v>100</v>
      </c>
      <c r="D34" s="170">
        <v>280</v>
      </c>
      <c r="E34" s="171">
        <f t="shared" si="6"/>
        <v>380</v>
      </c>
      <c r="F34" s="169"/>
      <c r="G34" s="170"/>
      <c r="H34" s="171">
        <f t="shared" si="7"/>
        <v>0</v>
      </c>
      <c r="I34" s="172">
        <v>37</v>
      </c>
      <c r="J34" s="173" t="s">
        <v>413</v>
      </c>
      <c r="K34" s="169">
        <v>165</v>
      </c>
      <c r="L34" s="170"/>
      <c r="M34" s="171">
        <f t="shared" si="8"/>
        <v>165</v>
      </c>
      <c r="N34" s="169"/>
      <c r="O34" s="170"/>
      <c r="P34" s="171">
        <f t="shared" si="9"/>
        <v>0</v>
      </c>
    </row>
    <row r="35" spans="1:16" s="57" customFormat="1" ht="15" customHeight="1" x14ac:dyDescent="0.2">
      <c r="A35" s="174" t="s">
        <v>414</v>
      </c>
      <c r="B35" s="175"/>
      <c r="C35" s="176">
        <f>SUM(C28:C34)</f>
        <v>6922</v>
      </c>
      <c r="D35" s="176">
        <f>SUM(D28:D34)</f>
        <v>10774</v>
      </c>
      <c r="E35" s="177">
        <f>C35+D35</f>
        <v>17696</v>
      </c>
      <c r="F35" s="176">
        <f>SUM(F28:F34)</f>
        <v>0</v>
      </c>
      <c r="G35" s="176">
        <f>SUM(G28:G34)</f>
        <v>0</v>
      </c>
      <c r="H35" s="177">
        <f>G35+F35</f>
        <v>0</v>
      </c>
      <c r="I35" s="174" t="s">
        <v>415</v>
      </c>
      <c r="J35" s="175"/>
      <c r="K35" s="176">
        <f>SUM(K28:K34)</f>
        <v>12357</v>
      </c>
      <c r="L35" s="176">
        <f>SUM(L28:L34)</f>
        <v>850</v>
      </c>
      <c r="M35" s="177">
        <f>K35+L35</f>
        <v>13207</v>
      </c>
      <c r="N35" s="176">
        <f>SUM(N28:N34)</f>
        <v>0</v>
      </c>
      <c r="O35" s="176">
        <f>SUM(O28:O34)</f>
        <v>0</v>
      </c>
      <c r="P35" s="176">
        <f>SUM(P28:P34)</f>
        <v>0</v>
      </c>
    </row>
    <row r="36" spans="1:16" s="12" customFormat="1" ht="15" customHeight="1" thickBot="1" x14ac:dyDescent="0.25">
      <c r="A36" s="163"/>
      <c r="B36" s="164"/>
      <c r="C36" s="178"/>
      <c r="D36" s="179"/>
      <c r="E36" s="171"/>
      <c r="F36" s="178"/>
      <c r="G36" s="179"/>
      <c r="H36" s="171"/>
      <c r="I36" s="163"/>
      <c r="J36" s="164"/>
      <c r="K36" s="178"/>
      <c r="L36" s="179"/>
      <c r="M36" s="182"/>
      <c r="N36" s="179"/>
      <c r="O36" s="179"/>
      <c r="P36" s="180"/>
    </row>
    <row r="37" spans="1:16" s="12" customFormat="1" ht="15" customHeight="1" thickBot="1" x14ac:dyDescent="0.25">
      <c r="A37" s="165" t="s">
        <v>416</v>
      </c>
      <c r="B37" s="166"/>
      <c r="C37" s="178"/>
      <c r="D37" s="179"/>
      <c r="E37" s="171"/>
      <c r="F37" s="178"/>
      <c r="G37" s="179"/>
      <c r="H37" s="171"/>
      <c r="I37" s="183" t="s">
        <v>417</v>
      </c>
      <c r="J37" s="166"/>
      <c r="K37" s="178"/>
      <c r="L37" s="179"/>
      <c r="M37" s="184"/>
      <c r="N37" s="179"/>
      <c r="O37" s="179"/>
      <c r="P37" s="180"/>
    </row>
    <row r="38" spans="1:16" s="12" customFormat="1" ht="15" customHeight="1" x14ac:dyDescent="0.2">
      <c r="A38" s="167">
        <v>91</v>
      </c>
      <c r="B38" s="168" t="s">
        <v>138</v>
      </c>
      <c r="C38" s="169">
        <v>305</v>
      </c>
      <c r="D38" s="170">
        <v>5491</v>
      </c>
      <c r="E38" s="171">
        <f>SUM(C38:D38)</f>
        <v>5796</v>
      </c>
      <c r="F38" s="169"/>
      <c r="G38" s="170"/>
      <c r="H38" s="171">
        <f>SUM(F38:G38)</f>
        <v>0</v>
      </c>
      <c r="I38" s="167">
        <v>41</v>
      </c>
      <c r="J38" s="168" t="s">
        <v>138</v>
      </c>
      <c r="K38" s="169"/>
      <c r="L38" s="170">
        <v>5960</v>
      </c>
      <c r="M38" s="171">
        <f>SUM(K38:L38)</f>
        <v>5960</v>
      </c>
      <c r="N38" s="169"/>
      <c r="O38" s="170"/>
      <c r="P38" s="171">
        <f>SUM(N38:O38)</f>
        <v>0</v>
      </c>
    </row>
    <row r="39" spans="1:16" s="12" customFormat="1" ht="15" customHeight="1" x14ac:dyDescent="0.2">
      <c r="A39" s="185" t="s">
        <v>418</v>
      </c>
      <c r="B39" s="173" t="s">
        <v>419</v>
      </c>
      <c r="C39" s="169"/>
      <c r="D39" s="170">
        <v>33</v>
      </c>
      <c r="E39" s="171">
        <f>SUM(C39:D39)</f>
        <v>33</v>
      </c>
      <c r="F39" s="169"/>
      <c r="G39" s="170"/>
      <c r="H39" s="171">
        <f>SUM(F39:G39)</f>
        <v>0</v>
      </c>
      <c r="I39" s="172">
        <v>43</v>
      </c>
      <c r="J39" s="173" t="s">
        <v>419</v>
      </c>
      <c r="K39" s="169"/>
      <c r="L39" s="170"/>
      <c r="M39" s="171">
        <f>SUM(K39:L39)</f>
        <v>0</v>
      </c>
      <c r="N39" s="169"/>
      <c r="O39" s="170"/>
      <c r="P39" s="171">
        <f>SUM(N39:O39)</f>
        <v>0</v>
      </c>
    </row>
    <row r="40" spans="1:16" s="12" customFormat="1" ht="15" customHeight="1" x14ac:dyDescent="0.2">
      <c r="A40" s="172">
        <v>97</v>
      </c>
      <c r="B40" s="173" t="s">
        <v>420</v>
      </c>
      <c r="C40" s="169"/>
      <c r="D40" s="170">
        <v>795</v>
      </c>
      <c r="E40" s="171">
        <f>SUM(C40:D40)</f>
        <v>795</v>
      </c>
      <c r="F40" s="169"/>
      <c r="G40" s="170"/>
      <c r="H40" s="171">
        <f>SUM(F40:G40)</f>
        <v>0</v>
      </c>
      <c r="I40" s="172">
        <v>47</v>
      </c>
      <c r="J40" s="173" t="s">
        <v>420</v>
      </c>
      <c r="K40" s="169"/>
      <c r="L40" s="170">
        <v>1480</v>
      </c>
      <c r="M40" s="171">
        <f>SUM(K40:L40)</f>
        <v>1480</v>
      </c>
      <c r="N40" s="169"/>
      <c r="O40" s="170"/>
      <c r="P40" s="171">
        <f>SUM(N40:O40)</f>
        <v>0</v>
      </c>
    </row>
    <row r="41" spans="1:16" s="57" customFormat="1" ht="15" customHeight="1" x14ac:dyDescent="0.2">
      <c r="A41" s="174" t="s">
        <v>421</v>
      </c>
      <c r="B41" s="175"/>
      <c r="C41" s="176">
        <f>SUM(C38:C40)</f>
        <v>305</v>
      </c>
      <c r="D41" s="176">
        <f>SUM(D38:D40)</f>
        <v>6319</v>
      </c>
      <c r="E41" s="177">
        <f>C41+D41</f>
        <v>6624</v>
      </c>
      <c r="F41" s="176">
        <f>SUM(F38:F40)</f>
        <v>0</v>
      </c>
      <c r="G41" s="176">
        <f>SUM(G38:G40)</f>
        <v>0</v>
      </c>
      <c r="H41" s="177">
        <f>G41+F41</f>
        <v>0</v>
      </c>
      <c r="I41" s="174" t="s">
        <v>422</v>
      </c>
      <c r="J41" s="175"/>
      <c r="K41" s="176">
        <f>SUM(K38:K40)</f>
        <v>0</v>
      </c>
      <c r="L41" s="176">
        <f>SUM(L38:L40)</f>
        <v>7440</v>
      </c>
      <c r="M41" s="177">
        <f>K41+L41</f>
        <v>7440</v>
      </c>
      <c r="N41" s="176">
        <f>SUM(N38:N40)</f>
        <v>0</v>
      </c>
      <c r="O41" s="176">
        <f>SUM(O38:O40)</f>
        <v>0</v>
      </c>
      <c r="P41" s="176">
        <f>SUM(P38:P40)</f>
        <v>0</v>
      </c>
    </row>
    <row r="42" spans="1:16" s="12" customFormat="1" ht="15" customHeight="1" thickBot="1" x14ac:dyDescent="0.25">
      <c r="A42" s="163"/>
      <c r="B42" s="164"/>
      <c r="C42" s="178"/>
      <c r="D42" s="179"/>
      <c r="E42" s="171"/>
      <c r="F42" s="178"/>
      <c r="G42" s="179"/>
      <c r="H42" s="171"/>
      <c r="I42" s="163"/>
      <c r="J42" s="164"/>
      <c r="K42" s="178"/>
      <c r="L42" s="179"/>
      <c r="M42" s="182"/>
      <c r="N42" s="179"/>
      <c r="O42" s="179"/>
      <c r="P42" s="180"/>
    </row>
    <row r="43" spans="1:16" s="12" customFormat="1" ht="15" customHeight="1" thickBot="1" x14ac:dyDescent="0.25">
      <c r="A43" s="165" t="s">
        <v>423</v>
      </c>
      <c r="B43" s="166"/>
      <c r="C43" s="178"/>
      <c r="D43" s="179"/>
      <c r="E43" s="171"/>
      <c r="F43" s="178"/>
      <c r="G43" s="179"/>
      <c r="H43" s="171"/>
      <c r="I43" s="165" t="s">
        <v>424</v>
      </c>
      <c r="J43" s="166"/>
      <c r="K43" s="178"/>
      <c r="L43" s="179"/>
      <c r="M43" s="184"/>
      <c r="N43" s="179"/>
      <c r="O43" s="179"/>
      <c r="P43" s="180"/>
    </row>
    <row r="44" spans="1:16" s="12" customFormat="1" ht="15" customHeight="1" x14ac:dyDescent="0.2">
      <c r="A44" s="167"/>
      <c r="B44" s="168" t="s">
        <v>425</v>
      </c>
      <c r="C44" s="169">
        <v>3586</v>
      </c>
      <c r="D44" s="170"/>
      <c r="E44" s="171">
        <f>SUM(C44:D44)</f>
        <v>3586</v>
      </c>
      <c r="F44" s="169"/>
      <c r="G44" s="170"/>
      <c r="H44" s="171">
        <f>SUM(F44:G44)</f>
        <v>0</v>
      </c>
      <c r="I44" s="167"/>
      <c r="J44" s="168" t="s">
        <v>426</v>
      </c>
      <c r="K44" s="169"/>
      <c r="L44" s="170"/>
      <c r="M44" s="171">
        <f>SUM(K44:L44)</f>
        <v>0</v>
      </c>
      <c r="N44" s="169"/>
      <c r="O44" s="170"/>
      <c r="P44" s="171">
        <f>SUM(N44:O44)</f>
        <v>0</v>
      </c>
    </row>
    <row r="45" spans="1:16" s="12" customFormat="1" ht="15" customHeight="1" x14ac:dyDescent="0.2">
      <c r="A45" s="172"/>
      <c r="B45" s="173" t="s">
        <v>393</v>
      </c>
      <c r="C45" s="169"/>
      <c r="D45" s="170">
        <v>4000</v>
      </c>
      <c r="E45" s="171">
        <f>SUM(C45:D45)</f>
        <v>4000</v>
      </c>
      <c r="F45" s="169"/>
      <c r="G45" s="170"/>
      <c r="H45" s="171">
        <f>SUM(F45:G45)</f>
        <v>0</v>
      </c>
      <c r="I45" s="172"/>
      <c r="J45" s="173" t="s">
        <v>427</v>
      </c>
      <c r="K45" s="169"/>
      <c r="L45" s="170"/>
      <c r="M45" s="171">
        <f>SUM(K45:L45)</f>
        <v>0</v>
      </c>
      <c r="N45" s="169"/>
      <c r="O45" s="170"/>
      <c r="P45" s="171">
        <f>SUM(N45:O45)</f>
        <v>0</v>
      </c>
    </row>
    <row r="46" spans="1:16" s="12" customFormat="1" ht="15" customHeight="1" x14ac:dyDescent="0.2">
      <c r="A46" s="172"/>
      <c r="B46" s="173" t="s">
        <v>428</v>
      </c>
      <c r="C46" s="169">
        <v>0</v>
      </c>
      <c r="D46" s="170">
        <v>2250</v>
      </c>
      <c r="E46" s="171">
        <f>SUM(C46:D46)</f>
        <v>2250</v>
      </c>
      <c r="F46" s="169"/>
      <c r="G46" s="170"/>
      <c r="H46" s="171">
        <f>SUM(F46:G46)</f>
        <v>0</v>
      </c>
      <c r="I46" s="172"/>
      <c r="J46" s="173" t="s">
        <v>429</v>
      </c>
      <c r="K46" s="169"/>
      <c r="L46" s="170"/>
      <c r="M46" s="171">
        <f>SUM(K46:L46)</f>
        <v>0</v>
      </c>
      <c r="N46" s="169">
        <v>0</v>
      </c>
      <c r="O46" s="170">
        <v>0</v>
      </c>
      <c r="P46" s="171">
        <f>SUM(N46:O46)</f>
        <v>0</v>
      </c>
    </row>
    <row r="47" spans="1:16" s="57" customFormat="1" ht="15" customHeight="1" x14ac:dyDescent="0.2">
      <c r="A47" s="174" t="s">
        <v>430</v>
      </c>
      <c r="B47" s="175"/>
      <c r="C47" s="176">
        <f>SUM(C44:C46)</f>
        <v>3586</v>
      </c>
      <c r="D47" s="176">
        <f>SUM(D44:D46)</f>
        <v>6250</v>
      </c>
      <c r="E47" s="177">
        <f>C47+D47</f>
        <v>9836</v>
      </c>
      <c r="F47" s="176">
        <f>SUM(F44:F46)</f>
        <v>0</v>
      </c>
      <c r="G47" s="176">
        <f>SUM(G44:G46)</f>
        <v>0</v>
      </c>
      <c r="H47" s="177">
        <f>G47+F47</f>
        <v>0</v>
      </c>
      <c r="I47" s="174" t="s">
        <v>431</v>
      </c>
      <c r="J47" s="175"/>
      <c r="K47" s="176">
        <f t="shared" ref="K47:P47" si="10">SUM(K44:K46)</f>
        <v>0</v>
      </c>
      <c r="L47" s="176">
        <f t="shared" si="10"/>
        <v>0</v>
      </c>
      <c r="M47" s="176">
        <f t="shared" si="10"/>
        <v>0</v>
      </c>
      <c r="N47" s="176">
        <f t="shared" si="10"/>
        <v>0</v>
      </c>
      <c r="O47" s="176">
        <f t="shared" si="10"/>
        <v>0</v>
      </c>
      <c r="P47" s="176">
        <f t="shared" si="10"/>
        <v>0</v>
      </c>
    </row>
    <row r="48" spans="1:16" s="12" customFormat="1" ht="15" customHeight="1" thickBot="1" x14ac:dyDescent="0.25">
      <c r="A48" s="163"/>
      <c r="B48" s="164"/>
      <c r="C48" s="178"/>
      <c r="D48" s="179"/>
      <c r="E48" s="171"/>
      <c r="F48" s="178"/>
      <c r="G48" s="179"/>
      <c r="H48" s="186"/>
      <c r="I48" s="163"/>
      <c r="J48" s="164"/>
      <c r="K48" s="178"/>
      <c r="L48" s="179"/>
      <c r="M48" s="187"/>
      <c r="N48" s="179"/>
      <c r="O48" s="179"/>
      <c r="P48" s="187"/>
    </row>
    <row r="49" spans="1:16" s="155" customFormat="1" ht="15" customHeight="1" thickBot="1" x14ac:dyDescent="0.3">
      <c r="A49" s="188" t="s">
        <v>432</v>
      </c>
      <c r="B49" s="189"/>
      <c r="C49" s="190">
        <f>C47+C41+C35+C25+C15</f>
        <v>14843</v>
      </c>
      <c r="D49" s="191">
        <f>D47+D41+D35+D25+D15</f>
        <v>35776</v>
      </c>
      <c r="E49" s="191">
        <f>C49+D49</f>
        <v>50619</v>
      </c>
      <c r="F49" s="191">
        <f>F15+F25+F35+F41+F47</f>
        <v>0</v>
      </c>
      <c r="G49" s="191">
        <f>G15+G25+G35+G41+G47</f>
        <v>0</v>
      </c>
      <c r="H49" s="191">
        <f>G49+F49</f>
        <v>0</v>
      </c>
      <c r="I49" s="192" t="s">
        <v>433</v>
      </c>
      <c r="J49" s="192"/>
      <c r="K49" s="191">
        <f>K47+K41+K35+K25+K15</f>
        <v>22389</v>
      </c>
      <c r="L49" s="191">
        <f>L47+L41+L35+L25+L15</f>
        <v>24156</v>
      </c>
      <c r="M49" s="191">
        <f>K49+L49</f>
        <v>46545</v>
      </c>
      <c r="N49" s="191">
        <f>N47+N35+N25+N15+N41</f>
        <v>0</v>
      </c>
      <c r="O49" s="191">
        <f>O15+O25+O35+O41+O47</f>
        <v>0</v>
      </c>
      <c r="P49" s="191">
        <f>O49+N49</f>
        <v>0</v>
      </c>
    </row>
    <row r="50" spans="1:16" s="194" customFormat="1" ht="15" customHeight="1" x14ac:dyDescent="0.25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</row>
    <row r="51" spans="1:16" s="12" customFormat="1" ht="15" customHeight="1" thickBot="1" x14ac:dyDescent="0.25">
      <c r="A51" s="195"/>
      <c r="F51" s="195"/>
      <c r="N51" s="195"/>
    </row>
    <row r="52" spans="1:16" s="57" customFormat="1" x14ac:dyDescent="0.2">
      <c r="A52" s="57" t="s">
        <v>236</v>
      </c>
      <c r="F52" s="57" t="s">
        <v>434</v>
      </c>
      <c r="N52" s="57" t="s">
        <v>157</v>
      </c>
    </row>
    <row r="53" spans="1:16" s="12" customFormat="1" x14ac:dyDescent="0.2"/>
    <row r="54" spans="1:16" s="12" customFormat="1" x14ac:dyDescent="0.2"/>
    <row r="55" spans="1:16" s="12" customFormat="1" x14ac:dyDescent="0.2"/>
    <row r="56" spans="1:16" s="12" customFormat="1" x14ac:dyDescent="0.2"/>
  </sheetData>
  <mergeCells count="7">
    <mergeCell ref="A2:P2"/>
    <mergeCell ref="A4:H4"/>
    <mergeCell ref="I4:P4"/>
    <mergeCell ref="C5:E5"/>
    <mergeCell ref="F5:H5"/>
    <mergeCell ref="K5:M5"/>
    <mergeCell ref="N5:P5"/>
  </mergeCells>
  <phoneticPr fontId="0" type="noConversion"/>
  <pageMargins left="0.74803149606299213" right="0.74803149606299213" top="0.39370078740157483" bottom="0.39370078740157483" header="0.31496062992125984" footer="0.51181102362204722"/>
  <pageSetup paperSize="9" scale="70" orientation="landscape" horizontalDpi="300" r:id="rId1"/>
  <headerFooter alignWithMargins="0">
    <oddFooter>עמוד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:U191"/>
  <sheetViews>
    <sheetView showGridLines="0" rightToLeft="1" view="pageLayout" workbookViewId="0">
      <selection activeCell="B14" sqref="B14"/>
    </sheetView>
  </sheetViews>
  <sheetFormatPr defaultColWidth="9.140625" defaultRowHeight="12" x14ac:dyDescent="0.2"/>
  <cols>
    <col min="1" max="1" width="11" style="230" customWidth="1"/>
    <col min="2" max="2" width="18.28515625" style="230" customWidth="1"/>
    <col min="3" max="3" width="12.28515625" style="230" hidden="1" customWidth="1"/>
    <col min="4" max="8" width="10.42578125" style="230" hidden="1" customWidth="1"/>
    <col min="9" max="13" width="10.42578125" style="230" customWidth="1"/>
    <col min="14" max="16384" width="9.140625" style="230"/>
  </cols>
  <sheetData>
    <row r="1" spans="1:21" s="197" customFormat="1" ht="15.75" x14ac:dyDescent="0.25">
      <c r="I1" s="155"/>
      <c r="M1" s="155" t="s">
        <v>435</v>
      </c>
    </row>
    <row r="2" spans="1:21" s="198" customFormat="1" ht="18.75" x14ac:dyDescent="0.3">
      <c r="A2" s="1439" t="s">
        <v>436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777"/>
      <c r="Q2" s="777"/>
      <c r="R2" s="777"/>
    </row>
    <row r="3" spans="1:21" s="197" customFormat="1" ht="12.75" thickBot="1" x14ac:dyDescent="0.25"/>
    <row r="4" spans="1:21" s="197" customFormat="1" ht="18.75" customHeight="1" thickBot="1" x14ac:dyDescent="0.3">
      <c r="A4" s="1443" t="s">
        <v>42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5"/>
    </row>
    <row r="5" spans="1:21" s="197" customFormat="1" ht="18.75" customHeight="1" thickBot="1" x14ac:dyDescent="0.3">
      <c r="A5" s="1443" t="s">
        <v>437</v>
      </c>
      <c r="B5" s="1444"/>
      <c r="C5" s="1444"/>
      <c r="D5" s="1444"/>
      <c r="E5" s="1444"/>
      <c r="F5" s="1444"/>
      <c r="G5" s="1444"/>
      <c r="H5" s="1444"/>
      <c r="I5" s="1444"/>
      <c r="J5" s="1444"/>
      <c r="K5" s="1444"/>
      <c r="L5" s="1444"/>
      <c r="M5" s="1444"/>
      <c r="N5" s="1444"/>
      <c r="O5" s="1444"/>
      <c r="P5" s="1445"/>
      <c r="Q5" s="1443" t="s">
        <v>0</v>
      </c>
      <c r="R5" s="1444"/>
      <c r="S5" s="1444"/>
      <c r="T5" s="1444"/>
      <c r="U5" s="1445"/>
    </row>
    <row r="6" spans="1:21" s="204" customFormat="1" ht="22.5" x14ac:dyDescent="0.2">
      <c r="A6" s="199" t="s">
        <v>438</v>
      </c>
      <c r="B6" s="200"/>
      <c r="C6" s="201" t="s">
        <v>439</v>
      </c>
      <c r="D6" s="201" t="s">
        <v>440</v>
      </c>
      <c r="E6" s="202" t="s">
        <v>441</v>
      </c>
      <c r="F6" s="201" t="s">
        <v>442</v>
      </c>
      <c r="G6" s="201" t="s">
        <v>443</v>
      </c>
      <c r="H6" s="201" t="s">
        <v>444</v>
      </c>
      <c r="I6" s="201" t="s">
        <v>445</v>
      </c>
      <c r="J6" s="201" t="s">
        <v>446</v>
      </c>
      <c r="K6" s="201" t="s">
        <v>447</v>
      </c>
      <c r="L6" s="201" t="s">
        <v>448</v>
      </c>
      <c r="M6" s="201" t="s">
        <v>449</v>
      </c>
      <c r="N6" s="201" t="s">
        <v>450</v>
      </c>
      <c r="O6" s="199" t="s">
        <v>451</v>
      </c>
      <c r="P6" s="199" t="s">
        <v>452</v>
      </c>
      <c r="Q6" s="203" t="s">
        <v>221</v>
      </c>
      <c r="R6" s="203" t="s">
        <v>222</v>
      </c>
      <c r="S6" s="203" t="s">
        <v>223</v>
      </c>
      <c r="T6" s="203" t="s">
        <v>453</v>
      </c>
      <c r="U6" s="340" t="s">
        <v>224</v>
      </c>
    </row>
    <row r="7" spans="1:21" s="12" customFormat="1" ht="12.75" customHeight="1" x14ac:dyDescent="0.2">
      <c r="A7" s="205" t="s">
        <v>454</v>
      </c>
      <c r="B7" s="206"/>
      <c r="C7" s="170"/>
      <c r="D7" s="170"/>
      <c r="E7" s="170"/>
      <c r="F7" s="170"/>
      <c r="G7" s="170"/>
      <c r="H7" s="207"/>
      <c r="I7" s="207"/>
      <c r="J7" s="208"/>
      <c r="K7" s="208"/>
      <c r="L7" s="208"/>
      <c r="M7" s="208"/>
      <c r="N7" s="208"/>
      <c r="O7" s="205"/>
      <c r="P7" s="205"/>
      <c r="Q7" s="205"/>
      <c r="R7" s="205"/>
      <c r="S7" s="208"/>
      <c r="T7" s="208"/>
      <c r="U7" s="208"/>
    </row>
    <row r="8" spans="1:21" s="12" customFormat="1" ht="12.75" customHeight="1" x14ac:dyDescent="0.2">
      <c r="A8" s="205" t="s">
        <v>455</v>
      </c>
      <c r="B8" s="206"/>
      <c r="C8" s="170"/>
      <c r="D8" s="170"/>
      <c r="E8" s="170"/>
      <c r="F8" s="170"/>
      <c r="G8" s="170"/>
      <c r="H8" s="205"/>
      <c r="I8" s="205"/>
      <c r="J8" s="208"/>
      <c r="K8" s="208"/>
      <c r="L8" s="208"/>
      <c r="M8" s="208"/>
      <c r="N8" s="208"/>
      <c r="O8" s="205"/>
      <c r="P8" s="205"/>
      <c r="Q8" s="205"/>
      <c r="R8" s="205"/>
      <c r="S8" s="208"/>
      <c r="T8" s="208"/>
      <c r="U8" s="208"/>
    </row>
    <row r="9" spans="1:21" s="12" customFormat="1" ht="12.75" customHeight="1" x14ac:dyDescent="0.2">
      <c r="A9" s="205" t="s">
        <v>456</v>
      </c>
      <c r="B9" s="206"/>
      <c r="C9" s="170"/>
      <c r="D9" s="170"/>
      <c r="E9" s="170"/>
      <c r="F9" s="170"/>
      <c r="G9" s="170"/>
      <c r="H9" s="205"/>
      <c r="I9" s="205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8"/>
      <c r="U9" s="208"/>
    </row>
    <row r="10" spans="1:21" s="12" customFormat="1" ht="12.75" customHeight="1" x14ac:dyDescent="0.2">
      <c r="A10" s="205" t="s">
        <v>457</v>
      </c>
      <c r="B10" s="206"/>
      <c r="C10" s="170"/>
      <c r="D10" s="170"/>
      <c r="E10" s="170"/>
      <c r="F10" s="170"/>
      <c r="G10" s="170"/>
      <c r="H10" s="205"/>
      <c r="I10" s="205"/>
      <c r="J10" s="208"/>
      <c r="K10" s="208"/>
      <c r="L10" s="208"/>
      <c r="M10" s="208"/>
      <c r="N10" s="208"/>
      <c r="O10" s="205"/>
      <c r="P10" s="205"/>
      <c r="Q10" s="205"/>
      <c r="R10" s="205"/>
      <c r="S10" s="208"/>
      <c r="T10" s="208"/>
      <c r="U10" s="208"/>
    </row>
    <row r="11" spans="1:21" s="12" customFormat="1" ht="12.75" customHeight="1" x14ac:dyDescent="0.2">
      <c r="A11" s="205" t="s">
        <v>458</v>
      </c>
      <c r="B11" s="206"/>
      <c r="C11" s="170"/>
      <c r="D11" s="170"/>
      <c r="E11" s="170"/>
      <c r="F11" s="170"/>
      <c r="G11" s="170"/>
      <c r="H11" s="205"/>
      <c r="I11" s="205"/>
      <c r="J11" s="208"/>
      <c r="K11" s="208"/>
      <c r="L11" s="208"/>
      <c r="M11" s="208"/>
      <c r="N11" s="208"/>
      <c r="O11" s="205"/>
      <c r="P11" s="205"/>
      <c r="Q11" s="205"/>
      <c r="R11" s="205"/>
      <c r="S11" s="208"/>
      <c r="T11" s="208"/>
      <c r="U11" s="208"/>
    </row>
    <row r="12" spans="1:21" s="12" customFormat="1" ht="12.75" customHeight="1" x14ac:dyDescent="0.2">
      <c r="A12" s="205" t="s">
        <v>459</v>
      </c>
      <c r="B12" s="206"/>
      <c r="C12" s="170"/>
      <c r="D12" s="170"/>
      <c r="E12" s="170"/>
      <c r="F12" s="170"/>
      <c r="G12" s="170"/>
      <c r="H12" s="205"/>
      <c r="I12" s="205"/>
      <c r="J12" s="208"/>
      <c r="K12" s="208"/>
      <c r="L12" s="208"/>
      <c r="M12" s="208"/>
      <c r="N12" s="208"/>
      <c r="O12" s="205"/>
      <c r="P12" s="205"/>
      <c r="Q12" s="205"/>
      <c r="R12" s="205"/>
      <c r="S12" s="208"/>
      <c r="T12" s="208"/>
      <c r="U12" s="208"/>
    </row>
    <row r="13" spans="1:21" s="12" customFormat="1" ht="12.75" customHeight="1" x14ac:dyDescent="0.2">
      <c r="A13" s="205" t="s">
        <v>460</v>
      </c>
      <c r="B13" s="206"/>
      <c r="C13" s="170"/>
      <c r="D13" s="170"/>
      <c r="E13" s="170"/>
      <c r="F13" s="170"/>
      <c r="G13" s="170"/>
      <c r="H13" s="205"/>
      <c r="I13" s="205"/>
      <c r="J13" s="208"/>
      <c r="K13" s="208"/>
      <c r="L13" s="208"/>
      <c r="M13" s="208"/>
      <c r="N13" s="208"/>
      <c r="O13" s="205"/>
      <c r="P13" s="205"/>
      <c r="Q13" s="205"/>
      <c r="R13" s="205"/>
      <c r="S13" s="208"/>
      <c r="T13" s="208"/>
      <c r="U13" s="208"/>
    </row>
    <row r="14" spans="1:21" s="12" customFormat="1" ht="12.75" customHeight="1" x14ac:dyDescent="0.2">
      <c r="A14" s="205" t="s">
        <v>461</v>
      </c>
      <c r="B14" s="206"/>
      <c r="C14" s="170">
        <v>16626</v>
      </c>
      <c r="D14" s="170">
        <v>15655</v>
      </c>
      <c r="E14" s="170">
        <v>15469</v>
      </c>
      <c r="F14" s="170">
        <v>15253</v>
      </c>
      <c r="G14" s="209">
        <v>17563</v>
      </c>
      <c r="H14" s="210">
        <v>14802</v>
      </c>
      <c r="I14" s="210">
        <v>18677</v>
      </c>
      <c r="J14" s="170">
        <v>17255</v>
      </c>
      <c r="K14" s="170">
        <v>15975</v>
      </c>
      <c r="L14" s="170">
        <v>16262</v>
      </c>
      <c r="M14" s="170">
        <v>16262</v>
      </c>
      <c r="N14" s="211">
        <v>15858</v>
      </c>
      <c r="O14" s="212">
        <v>7801</v>
      </c>
      <c r="P14" s="212">
        <v>15602</v>
      </c>
      <c r="Q14" s="212">
        <v>7824</v>
      </c>
      <c r="R14" s="212">
        <v>7481</v>
      </c>
      <c r="S14" s="211">
        <v>8961</v>
      </c>
      <c r="T14" s="211">
        <v>8194</v>
      </c>
      <c r="U14" s="211">
        <v>9842</v>
      </c>
    </row>
    <row r="15" spans="1:21" s="155" customFormat="1" ht="15.75" customHeight="1" x14ac:dyDescent="0.25">
      <c r="A15" s="213" t="s">
        <v>143</v>
      </c>
      <c r="B15" s="214"/>
      <c r="C15" s="215">
        <f t="shared" ref="C15:U15" si="0">SUM(C7:C14)</f>
        <v>16626</v>
      </c>
      <c r="D15" s="215">
        <f t="shared" si="0"/>
        <v>15655</v>
      </c>
      <c r="E15" s="215">
        <f t="shared" si="0"/>
        <v>15469</v>
      </c>
      <c r="F15" s="215">
        <f t="shared" si="0"/>
        <v>15253</v>
      </c>
      <c r="G15" s="215">
        <f t="shared" si="0"/>
        <v>17563</v>
      </c>
      <c r="H15" s="215">
        <f t="shared" si="0"/>
        <v>14802</v>
      </c>
      <c r="I15" s="215">
        <f t="shared" si="0"/>
        <v>18677</v>
      </c>
      <c r="J15" s="215">
        <f t="shared" si="0"/>
        <v>17255</v>
      </c>
      <c r="K15" s="215">
        <f t="shared" si="0"/>
        <v>15975</v>
      </c>
      <c r="L15" s="215">
        <f t="shared" si="0"/>
        <v>16262</v>
      </c>
      <c r="M15" s="215">
        <f t="shared" si="0"/>
        <v>16262</v>
      </c>
      <c r="N15" s="215">
        <f t="shared" si="0"/>
        <v>15858</v>
      </c>
      <c r="O15" s="215">
        <f t="shared" si="0"/>
        <v>7801</v>
      </c>
      <c r="P15" s="215">
        <f t="shared" si="0"/>
        <v>15602</v>
      </c>
      <c r="Q15" s="215">
        <f t="shared" si="0"/>
        <v>7824</v>
      </c>
      <c r="R15" s="215">
        <f t="shared" si="0"/>
        <v>7481</v>
      </c>
      <c r="S15" s="215">
        <f t="shared" si="0"/>
        <v>8961</v>
      </c>
      <c r="T15" s="215">
        <f t="shared" si="0"/>
        <v>8194</v>
      </c>
      <c r="U15" s="215">
        <f t="shared" si="0"/>
        <v>9842</v>
      </c>
    </row>
    <row r="16" spans="1:21" s="218" customFormat="1" ht="12.75" customHeight="1" thickBot="1" x14ac:dyDescent="0.25">
      <c r="A16" s="216"/>
      <c r="B16" s="216"/>
      <c r="C16" s="216"/>
      <c r="D16" s="216"/>
      <c r="E16" s="216"/>
      <c r="F16" s="216"/>
      <c r="G16" s="216"/>
      <c r="H16" s="216"/>
      <c r="I16" s="216"/>
      <c r="J16" s="217"/>
      <c r="K16" s="217"/>
      <c r="L16" s="217"/>
      <c r="M16" s="217"/>
    </row>
    <row r="17" spans="1:21" s="197" customFormat="1" ht="18.75" customHeight="1" thickBot="1" x14ac:dyDescent="0.3">
      <c r="A17" s="1440" t="s">
        <v>304</v>
      </c>
      <c r="B17" s="1441"/>
      <c r="C17" s="1441"/>
      <c r="D17" s="1441"/>
      <c r="E17" s="1441"/>
      <c r="F17" s="1441"/>
      <c r="G17" s="1441"/>
      <c r="H17" s="1441"/>
      <c r="I17" s="1441"/>
      <c r="J17" s="1441"/>
      <c r="K17" s="1441"/>
      <c r="L17" s="1441"/>
      <c r="M17" s="1441"/>
      <c r="N17" s="1441"/>
      <c r="O17" s="1441"/>
      <c r="P17" s="1441"/>
      <c r="Q17" s="1441"/>
      <c r="R17" s="1441"/>
      <c r="S17" s="1441"/>
      <c r="T17" s="1441"/>
      <c r="U17" s="1442"/>
    </row>
    <row r="18" spans="1:21" s="12" customFormat="1" ht="12.75" customHeight="1" x14ac:dyDescent="0.2">
      <c r="A18" s="207" t="s">
        <v>454</v>
      </c>
      <c r="B18" s="219"/>
      <c r="C18" s="220"/>
      <c r="D18" s="220"/>
      <c r="E18" s="220"/>
      <c r="F18" s="220"/>
      <c r="G18" s="220"/>
      <c r="H18" s="207"/>
      <c r="I18" s="207"/>
      <c r="J18" s="220"/>
      <c r="K18" s="220"/>
      <c r="L18" s="220"/>
      <c r="M18" s="207"/>
      <c r="N18" s="220"/>
      <c r="O18" s="207"/>
      <c r="P18" s="207"/>
      <c r="Q18" s="207"/>
      <c r="R18" s="207"/>
      <c r="S18" s="220"/>
      <c r="T18" s="220"/>
      <c r="U18" s="220"/>
    </row>
    <row r="19" spans="1:21" s="12" customFormat="1" ht="12.75" x14ac:dyDescent="0.2">
      <c r="A19" s="205" t="s">
        <v>455</v>
      </c>
      <c r="B19" s="206"/>
      <c r="C19" s="170"/>
      <c r="D19" s="170"/>
      <c r="E19" s="170"/>
      <c r="F19" s="170"/>
      <c r="G19" s="170"/>
      <c r="H19" s="205"/>
      <c r="I19" s="205"/>
      <c r="J19" s="208"/>
      <c r="K19" s="208"/>
      <c r="L19" s="208"/>
      <c r="M19" s="205"/>
      <c r="N19" s="208"/>
      <c r="O19" s="205"/>
      <c r="P19" s="205"/>
      <c r="Q19" s="205"/>
      <c r="R19" s="205"/>
      <c r="S19" s="208"/>
      <c r="T19" s="208"/>
      <c r="U19" s="208"/>
    </row>
    <row r="20" spans="1:21" s="12" customFormat="1" ht="12.75" x14ac:dyDescent="0.2">
      <c r="A20" s="205" t="s">
        <v>456</v>
      </c>
      <c r="B20" s="206"/>
      <c r="C20" s="170"/>
      <c r="D20" s="170"/>
      <c r="E20" s="170"/>
      <c r="F20" s="170"/>
      <c r="G20" s="170"/>
      <c r="H20" s="205"/>
      <c r="I20" s="205"/>
      <c r="J20" s="208"/>
      <c r="K20" s="208"/>
      <c r="L20" s="208"/>
      <c r="M20" s="205"/>
      <c r="N20" s="208"/>
      <c r="O20" s="205"/>
      <c r="P20" s="205"/>
      <c r="Q20" s="205"/>
      <c r="R20" s="205"/>
      <c r="S20" s="208"/>
      <c r="T20" s="208"/>
      <c r="U20" s="208"/>
    </row>
    <row r="21" spans="1:21" s="12" customFormat="1" ht="12.75" x14ac:dyDescent="0.2">
      <c r="A21" s="205" t="s">
        <v>457</v>
      </c>
      <c r="B21" s="206"/>
      <c r="C21" s="170"/>
      <c r="D21" s="170"/>
      <c r="E21" s="170"/>
      <c r="F21" s="170"/>
      <c r="G21" s="170"/>
      <c r="H21" s="205"/>
      <c r="I21" s="205"/>
      <c r="J21" s="208"/>
      <c r="K21" s="208"/>
      <c r="L21" s="208"/>
      <c r="M21" s="205"/>
      <c r="N21" s="208"/>
      <c r="O21" s="205"/>
      <c r="P21" s="205"/>
      <c r="Q21" s="205"/>
      <c r="R21" s="205"/>
      <c r="S21" s="208"/>
      <c r="T21" s="208"/>
      <c r="U21" s="208"/>
    </row>
    <row r="22" spans="1:21" s="12" customFormat="1" ht="12.75" x14ac:dyDescent="0.2">
      <c r="A22" s="205" t="s">
        <v>458</v>
      </c>
      <c r="B22" s="206"/>
      <c r="C22" s="170"/>
      <c r="D22" s="170"/>
      <c r="E22" s="170"/>
      <c r="F22" s="170"/>
      <c r="G22" s="170"/>
      <c r="H22" s="205"/>
      <c r="I22" s="205"/>
      <c r="J22" s="208"/>
      <c r="K22" s="208"/>
      <c r="L22" s="208"/>
      <c r="M22" s="205"/>
      <c r="N22" s="208"/>
      <c r="O22" s="205"/>
      <c r="P22" s="205"/>
      <c r="Q22" s="205"/>
      <c r="R22" s="205"/>
      <c r="S22" s="208"/>
      <c r="T22" s="208"/>
      <c r="U22" s="208"/>
    </row>
    <row r="23" spans="1:21" s="12" customFormat="1" ht="12.75" x14ac:dyDescent="0.2">
      <c r="A23" s="205" t="s">
        <v>459</v>
      </c>
      <c r="B23" s="206"/>
      <c r="C23" s="170"/>
      <c r="D23" s="170"/>
      <c r="E23" s="170"/>
      <c r="F23" s="170"/>
      <c r="G23" s="170"/>
      <c r="H23" s="205"/>
      <c r="I23" s="205"/>
      <c r="J23" s="208"/>
      <c r="K23" s="208"/>
      <c r="L23" s="208"/>
      <c r="M23" s="205"/>
      <c r="N23" s="208"/>
      <c r="O23" s="205"/>
      <c r="P23" s="205"/>
      <c r="Q23" s="205"/>
      <c r="R23" s="205"/>
      <c r="S23" s="208"/>
      <c r="T23" s="208"/>
      <c r="U23" s="208"/>
    </row>
    <row r="24" spans="1:21" s="12" customFormat="1" ht="12.75" x14ac:dyDescent="0.2">
      <c r="A24" s="205" t="s">
        <v>460</v>
      </c>
      <c r="B24" s="206"/>
      <c r="C24" s="170"/>
      <c r="D24" s="170"/>
      <c r="E24" s="170"/>
      <c r="F24" s="170"/>
      <c r="G24" s="170"/>
      <c r="H24" s="205"/>
      <c r="I24" s="205"/>
      <c r="J24" s="208"/>
      <c r="K24" s="208"/>
      <c r="L24" s="208"/>
      <c r="M24" s="205"/>
      <c r="N24" s="208"/>
      <c r="O24" s="205"/>
      <c r="P24" s="205"/>
      <c r="Q24" s="205"/>
      <c r="R24" s="205"/>
      <c r="S24" s="208"/>
      <c r="T24" s="208"/>
      <c r="U24" s="208"/>
    </row>
    <row r="25" spans="1:21" s="12" customFormat="1" ht="12.75" x14ac:dyDescent="0.2">
      <c r="A25" s="205" t="s">
        <v>461</v>
      </c>
      <c r="B25" s="206"/>
      <c r="C25" s="170">
        <v>10371</v>
      </c>
      <c r="D25" s="170">
        <v>9074</v>
      </c>
      <c r="E25" s="170">
        <v>11626</v>
      </c>
      <c r="F25" s="170">
        <v>9072</v>
      </c>
      <c r="G25" s="170">
        <v>9816</v>
      </c>
      <c r="H25" s="221">
        <v>9450</v>
      </c>
      <c r="I25" s="221">
        <v>9813</v>
      </c>
      <c r="J25" s="170">
        <v>11392</v>
      </c>
      <c r="K25" s="170">
        <v>10883</v>
      </c>
      <c r="L25" s="170">
        <f>M25-K25</f>
        <v>-31</v>
      </c>
      <c r="M25" s="222">
        <v>10852</v>
      </c>
      <c r="N25" s="211">
        <v>10785</v>
      </c>
      <c r="O25" s="212">
        <v>5720</v>
      </c>
      <c r="P25" s="212">
        <v>11440</v>
      </c>
      <c r="Q25" s="212">
        <v>4481</v>
      </c>
      <c r="R25" s="212">
        <v>4759</v>
      </c>
      <c r="S25" s="211">
        <v>4736</v>
      </c>
      <c r="T25" s="211">
        <v>5546</v>
      </c>
      <c r="U25" s="211">
        <v>4735</v>
      </c>
    </row>
    <row r="26" spans="1:21" s="155" customFormat="1" ht="15.75" x14ac:dyDescent="0.25">
      <c r="A26" s="213" t="s">
        <v>143</v>
      </c>
      <c r="B26" s="214"/>
      <c r="C26" s="215">
        <f t="shared" ref="C26:U26" si="1">SUM(C18:C25)</f>
        <v>10371</v>
      </c>
      <c r="D26" s="215">
        <f t="shared" si="1"/>
        <v>9074</v>
      </c>
      <c r="E26" s="215">
        <f t="shared" si="1"/>
        <v>11626</v>
      </c>
      <c r="F26" s="215">
        <f t="shared" si="1"/>
        <v>9072</v>
      </c>
      <c r="G26" s="215">
        <f t="shared" si="1"/>
        <v>9816</v>
      </c>
      <c r="H26" s="215">
        <f t="shared" si="1"/>
        <v>9450</v>
      </c>
      <c r="I26" s="215">
        <f t="shared" si="1"/>
        <v>9813</v>
      </c>
      <c r="J26" s="215">
        <f t="shared" si="1"/>
        <v>11392</v>
      </c>
      <c r="K26" s="215">
        <f t="shared" si="1"/>
        <v>10883</v>
      </c>
      <c r="L26" s="215">
        <f t="shared" si="1"/>
        <v>-31</v>
      </c>
      <c r="M26" s="223">
        <f t="shared" si="1"/>
        <v>10852</v>
      </c>
      <c r="N26" s="223">
        <f t="shared" si="1"/>
        <v>10785</v>
      </c>
      <c r="O26" s="223">
        <f t="shared" si="1"/>
        <v>5720</v>
      </c>
      <c r="P26" s="223">
        <f t="shared" si="1"/>
        <v>11440</v>
      </c>
      <c r="Q26" s="223">
        <f t="shared" si="1"/>
        <v>4481</v>
      </c>
      <c r="R26" s="223">
        <f t="shared" si="1"/>
        <v>4759</v>
      </c>
      <c r="S26" s="223">
        <f t="shared" si="1"/>
        <v>4736</v>
      </c>
      <c r="T26" s="223">
        <f t="shared" si="1"/>
        <v>5546</v>
      </c>
      <c r="U26" s="223">
        <f t="shared" si="1"/>
        <v>4735</v>
      </c>
    </row>
    <row r="27" spans="1:21" s="218" customFormat="1" ht="12.75" thickBot="1" x14ac:dyDescent="0.25">
      <c r="A27" s="216"/>
      <c r="B27" s="216"/>
      <c r="C27" s="216"/>
      <c r="D27" s="216"/>
      <c r="E27" s="216"/>
      <c r="F27" s="216"/>
      <c r="G27" s="216"/>
      <c r="H27" s="217"/>
      <c r="I27" s="217"/>
      <c r="J27" s="217"/>
      <c r="K27" s="217"/>
      <c r="L27" s="217"/>
      <c r="M27" s="217"/>
    </row>
    <row r="28" spans="1:21" s="197" customFormat="1" ht="18.75" customHeight="1" thickBot="1" x14ac:dyDescent="0.3">
      <c r="A28" s="1440" t="s">
        <v>305</v>
      </c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2"/>
    </row>
    <row r="29" spans="1:21" s="12" customFormat="1" ht="12.75" x14ac:dyDescent="0.2">
      <c r="A29" s="207" t="s">
        <v>454</v>
      </c>
      <c r="B29" s="219"/>
      <c r="C29" s="220"/>
      <c r="D29" s="220"/>
      <c r="E29" s="220"/>
      <c r="F29" s="220"/>
      <c r="G29" s="220"/>
      <c r="H29" s="207"/>
      <c r="I29" s="207"/>
      <c r="J29" s="220"/>
      <c r="K29" s="220"/>
      <c r="L29" s="220"/>
      <c r="M29" s="207"/>
      <c r="N29" s="220"/>
      <c r="O29" s="207"/>
      <c r="P29" s="207"/>
      <c r="Q29" s="207"/>
      <c r="R29" s="207"/>
      <c r="S29" s="220"/>
      <c r="T29" s="220"/>
      <c r="U29" s="220"/>
    </row>
    <row r="30" spans="1:21" s="12" customFormat="1" ht="12.75" x14ac:dyDescent="0.2">
      <c r="A30" s="205" t="s">
        <v>455</v>
      </c>
      <c r="B30" s="206"/>
      <c r="C30" s="208"/>
      <c r="D30" s="208"/>
      <c r="E30" s="208"/>
      <c r="F30" s="208"/>
      <c r="G30" s="208"/>
      <c r="H30" s="205"/>
      <c r="I30" s="205"/>
      <c r="J30" s="208"/>
      <c r="K30" s="208"/>
      <c r="L30" s="208"/>
      <c r="M30" s="205"/>
      <c r="N30" s="208"/>
      <c r="O30" s="205"/>
      <c r="P30" s="205"/>
      <c r="Q30" s="205"/>
      <c r="R30" s="205"/>
      <c r="S30" s="208"/>
      <c r="T30" s="208"/>
      <c r="U30" s="208"/>
    </row>
    <row r="31" spans="1:21" s="12" customFormat="1" ht="12.75" x14ac:dyDescent="0.2">
      <c r="A31" s="205" t="s">
        <v>456</v>
      </c>
      <c r="B31" s="206"/>
      <c r="C31" s="208"/>
      <c r="D31" s="208"/>
      <c r="E31" s="208"/>
      <c r="F31" s="208"/>
      <c r="G31" s="208"/>
      <c r="H31" s="205"/>
      <c r="I31" s="205"/>
      <c r="J31" s="208"/>
      <c r="K31" s="208"/>
      <c r="L31" s="208"/>
      <c r="M31" s="205"/>
      <c r="N31" s="208"/>
      <c r="O31" s="205"/>
      <c r="P31" s="205"/>
      <c r="Q31" s="205"/>
      <c r="R31" s="205"/>
      <c r="S31" s="208"/>
      <c r="T31" s="208"/>
      <c r="U31" s="208"/>
    </row>
    <row r="32" spans="1:21" s="12" customFormat="1" ht="12.75" x14ac:dyDescent="0.2">
      <c r="A32" s="205" t="s">
        <v>457</v>
      </c>
      <c r="B32" s="206"/>
      <c r="C32" s="208"/>
      <c r="D32" s="208"/>
      <c r="E32" s="208"/>
      <c r="F32" s="208"/>
      <c r="G32" s="208"/>
      <c r="H32" s="205"/>
      <c r="I32" s="205"/>
      <c r="J32" s="208"/>
      <c r="K32" s="208"/>
      <c r="L32" s="208"/>
      <c r="M32" s="205"/>
      <c r="N32" s="208"/>
      <c r="O32" s="205"/>
      <c r="P32" s="205"/>
      <c r="Q32" s="205"/>
      <c r="R32" s="205"/>
      <c r="S32" s="208"/>
      <c r="T32" s="208"/>
      <c r="U32" s="208"/>
    </row>
    <row r="33" spans="1:21" s="12" customFormat="1" ht="12.75" x14ac:dyDescent="0.2">
      <c r="A33" s="205" t="s">
        <v>458</v>
      </c>
      <c r="B33" s="206"/>
      <c r="C33" s="208"/>
      <c r="D33" s="208"/>
      <c r="E33" s="208"/>
      <c r="F33" s="208"/>
      <c r="G33" s="208"/>
      <c r="H33" s="205"/>
      <c r="I33" s="205"/>
      <c r="J33" s="208"/>
      <c r="K33" s="208"/>
      <c r="L33" s="208"/>
      <c r="M33" s="205"/>
      <c r="N33" s="208"/>
      <c r="O33" s="205"/>
      <c r="P33" s="205"/>
      <c r="Q33" s="205"/>
      <c r="R33" s="205"/>
      <c r="S33" s="208"/>
      <c r="T33" s="208"/>
      <c r="U33" s="208"/>
    </row>
    <row r="34" spans="1:21" s="12" customFormat="1" ht="12.75" x14ac:dyDescent="0.2">
      <c r="A34" s="205" t="s">
        <v>459</v>
      </c>
      <c r="B34" s="206"/>
      <c r="C34" s="208"/>
      <c r="D34" s="208"/>
      <c r="E34" s="208"/>
      <c r="F34" s="208"/>
      <c r="G34" s="208"/>
      <c r="H34" s="205"/>
      <c r="I34" s="205"/>
      <c r="J34" s="208"/>
      <c r="K34" s="208"/>
      <c r="L34" s="208"/>
      <c r="M34" s="205"/>
      <c r="N34" s="208"/>
      <c r="O34" s="205"/>
      <c r="P34" s="205"/>
      <c r="Q34" s="205"/>
      <c r="R34" s="205"/>
      <c r="S34" s="208"/>
      <c r="T34" s="208"/>
      <c r="U34" s="208"/>
    </row>
    <row r="35" spans="1:21" s="12" customFormat="1" ht="12.75" x14ac:dyDescent="0.2">
      <c r="A35" s="205" t="s">
        <v>460</v>
      </c>
      <c r="B35" s="206"/>
      <c r="C35" s="208"/>
      <c r="D35" s="208"/>
      <c r="E35" s="208"/>
      <c r="F35" s="208"/>
      <c r="G35" s="208"/>
      <c r="H35" s="205"/>
      <c r="I35" s="205"/>
      <c r="J35" s="208"/>
      <c r="K35" s="208"/>
      <c r="L35" s="208"/>
      <c r="M35" s="205"/>
      <c r="N35" s="208"/>
      <c r="O35" s="205"/>
      <c r="P35" s="205"/>
      <c r="Q35" s="205"/>
      <c r="R35" s="205"/>
      <c r="S35" s="208"/>
      <c r="T35" s="208"/>
      <c r="U35" s="208"/>
    </row>
    <row r="36" spans="1:21" s="12" customFormat="1" ht="12.75" x14ac:dyDescent="0.2">
      <c r="A36" s="205" t="s">
        <v>461</v>
      </c>
      <c r="B36" s="206"/>
      <c r="C36" s="170">
        <v>2471</v>
      </c>
      <c r="D36" s="170">
        <v>2091</v>
      </c>
      <c r="E36" s="170">
        <v>1988</v>
      </c>
      <c r="F36" s="170">
        <v>1852</v>
      </c>
      <c r="G36" s="170">
        <v>2159</v>
      </c>
      <c r="H36" s="224">
        <v>2371</v>
      </c>
      <c r="I36" s="224">
        <v>1913</v>
      </c>
      <c r="J36" s="170">
        <v>2393</v>
      </c>
      <c r="K36" s="170">
        <v>2104</v>
      </c>
      <c r="L36" s="170">
        <f>M36-K36</f>
        <v>494</v>
      </c>
      <c r="M36" s="222">
        <v>2598</v>
      </c>
      <c r="N36" s="211">
        <v>2277</v>
      </c>
      <c r="O36" s="212">
        <v>1275</v>
      </c>
      <c r="P36" s="212">
        <v>2550</v>
      </c>
      <c r="Q36" s="212">
        <v>1062</v>
      </c>
      <c r="R36" s="212">
        <v>1041</v>
      </c>
      <c r="S36" s="211">
        <v>1146</v>
      </c>
      <c r="T36" s="211">
        <v>1419</v>
      </c>
      <c r="U36" s="211">
        <v>1383</v>
      </c>
    </row>
    <row r="37" spans="1:21" s="155" customFormat="1" ht="15.75" x14ac:dyDescent="0.25">
      <c r="A37" s="213" t="s">
        <v>143</v>
      </c>
      <c r="B37" s="214"/>
      <c r="C37" s="215">
        <f>SUM(C29:C36)</f>
        <v>2471</v>
      </c>
      <c r="D37" s="215">
        <f>SUM(D29:D36)</f>
        <v>2091</v>
      </c>
      <c r="E37" s="215">
        <f>SUM(E29:E36)</f>
        <v>1988</v>
      </c>
      <c r="F37" s="215">
        <f>SUM(F29:F36)</f>
        <v>1852</v>
      </c>
      <c r="G37" s="215">
        <f>SUM(G29:G36)</f>
        <v>2159</v>
      </c>
      <c r="H37" s="215">
        <f t="shared" ref="H37:U37" si="2">SUM(H30:H36)</f>
        <v>2371</v>
      </c>
      <c r="I37" s="215">
        <f t="shared" si="2"/>
        <v>1913</v>
      </c>
      <c r="J37" s="215">
        <f t="shared" si="2"/>
        <v>2393</v>
      </c>
      <c r="K37" s="215">
        <f t="shared" si="2"/>
        <v>2104</v>
      </c>
      <c r="L37" s="215">
        <f t="shared" si="2"/>
        <v>494</v>
      </c>
      <c r="M37" s="223">
        <f t="shared" si="2"/>
        <v>2598</v>
      </c>
      <c r="N37" s="223">
        <f t="shared" si="2"/>
        <v>2277</v>
      </c>
      <c r="O37" s="223">
        <f t="shared" si="2"/>
        <v>1275</v>
      </c>
      <c r="P37" s="223">
        <f t="shared" si="2"/>
        <v>2550</v>
      </c>
      <c r="Q37" s="223">
        <f t="shared" si="2"/>
        <v>1062</v>
      </c>
      <c r="R37" s="223">
        <f t="shared" si="2"/>
        <v>1041</v>
      </c>
      <c r="S37" s="223">
        <f t="shared" si="2"/>
        <v>1146</v>
      </c>
      <c r="T37" s="223">
        <f t="shared" si="2"/>
        <v>1419</v>
      </c>
      <c r="U37" s="223">
        <f t="shared" si="2"/>
        <v>1383</v>
      </c>
    </row>
    <row r="38" spans="1:21" s="197" customFormat="1" ht="12.75" thickBot="1" x14ac:dyDescent="0.25">
      <c r="A38" s="225"/>
      <c r="B38" s="225"/>
      <c r="C38" s="225"/>
      <c r="D38" s="225"/>
      <c r="E38" s="225"/>
      <c r="F38" s="225"/>
      <c r="G38" s="225"/>
      <c r="H38" s="225"/>
      <c r="I38" s="225"/>
    </row>
    <row r="39" spans="1:21" s="156" customFormat="1" ht="19.5" thickBot="1" x14ac:dyDescent="0.35">
      <c r="A39" s="1446" t="s">
        <v>343</v>
      </c>
      <c r="B39" s="1446"/>
      <c r="C39" s="226"/>
      <c r="D39" s="227">
        <f t="shared" ref="D39:U39" si="3">D15+D37+D26</f>
        <v>26820</v>
      </c>
      <c r="E39" s="227">
        <f t="shared" si="3"/>
        <v>29083</v>
      </c>
      <c r="F39" s="227">
        <f t="shared" si="3"/>
        <v>26177</v>
      </c>
      <c r="G39" s="227">
        <f t="shared" si="3"/>
        <v>29538</v>
      </c>
      <c r="H39" s="227">
        <f t="shared" si="3"/>
        <v>26623</v>
      </c>
      <c r="I39" s="227">
        <f t="shared" si="3"/>
        <v>30403</v>
      </c>
      <c r="J39" s="227">
        <f t="shared" si="3"/>
        <v>31040</v>
      </c>
      <c r="K39" s="227">
        <f t="shared" si="3"/>
        <v>28962</v>
      </c>
      <c r="L39" s="227">
        <f t="shared" si="3"/>
        <v>16725</v>
      </c>
      <c r="M39" s="228">
        <f t="shared" si="3"/>
        <v>29712</v>
      </c>
      <c r="N39" s="228">
        <f t="shared" si="3"/>
        <v>28920</v>
      </c>
      <c r="O39" s="228">
        <f t="shared" si="3"/>
        <v>14796</v>
      </c>
      <c r="P39" s="228">
        <f t="shared" si="3"/>
        <v>29592</v>
      </c>
      <c r="Q39" s="228">
        <f t="shared" si="3"/>
        <v>13367</v>
      </c>
      <c r="R39" s="228">
        <f t="shared" si="3"/>
        <v>13281</v>
      </c>
      <c r="S39" s="228">
        <f t="shared" si="3"/>
        <v>14843</v>
      </c>
      <c r="T39" s="228">
        <f t="shared" si="3"/>
        <v>15159</v>
      </c>
      <c r="U39" s="227">
        <f t="shared" si="3"/>
        <v>15960</v>
      </c>
    </row>
    <row r="40" spans="1:21" s="197" customFormat="1" x14ac:dyDescent="0.2">
      <c r="A40" s="225"/>
      <c r="B40" s="225"/>
      <c r="C40" s="225"/>
      <c r="D40" s="225"/>
      <c r="E40" s="225"/>
      <c r="F40" s="225"/>
      <c r="G40" s="225"/>
      <c r="H40" s="225"/>
      <c r="I40" s="225"/>
    </row>
    <row r="41" spans="1:21" s="197" customFormat="1" x14ac:dyDescent="0.2"/>
    <row r="42" spans="1:21" s="197" customFormat="1" ht="12.75" thickBot="1" x14ac:dyDescent="0.25">
      <c r="A42" s="225"/>
      <c r="E42" s="229"/>
      <c r="H42" s="229"/>
      <c r="I42" s="229"/>
      <c r="N42" s="229"/>
      <c r="O42" s="229"/>
    </row>
    <row r="43" spans="1:21" s="57" customFormat="1" ht="12.75" x14ac:dyDescent="0.2">
      <c r="E43" s="57" t="s">
        <v>434</v>
      </c>
      <c r="H43" s="1437" t="s">
        <v>157</v>
      </c>
      <c r="I43" s="1437"/>
      <c r="N43" s="1438" t="s">
        <v>236</v>
      </c>
      <c r="O43" s="1438"/>
    </row>
    <row r="44" spans="1:21" s="197" customFormat="1" x14ac:dyDescent="0.2"/>
    <row r="45" spans="1:21" s="197" customFormat="1" x14ac:dyDescent="0.2"/>
    <row r="46" spans="1:21" s="197" customFormat="1" x14ac:dyDescent="0.2"/>
    <row r="47" spans="1:21" s="197" customFormat="1" x14ac:dyDescent="0.2"/>
    <row r="48" spans="1:21" s="197" customFormat="1" x14ac:dyDescent="0.2"/>
    <row r="49" s="197" customFormat="1" x14ac:dyDescent="0.2"/>
    <row r="50" s="197" customFormat="1" x14ac:dyDescent="0.2"/>
    <row r="51" s="197" customFormat="1" x14ac:dyDescent="0.2"/>
    <row r="52" s="197" customFormat="1" x14ac:dyDescent="0.2"/>
    <row r="53" s="197" customFormat="1" x14ac:dyDescent="0.2"/>
    <row r="54" s="197" customFormat="1" x14ac:dyDescent="0.2"/>
    <row r="55" s="197" customFormat="1" x14ac:dyDescent="0.2"/>
    <row r="56" s="197" customFormat="1" x14ac:dyDescent="0.2"/>
    <row r="57" s="197" customFormat="1" x14ac:dyDescent="0.2"/>
    <row r="58" s="197" customFormat="1" x14ac:dyDescent="0.2"/>
    <row r="59" s="197" customFormat="1" x14ac:dyDescent="0.2"/>
    <row r="60" s="197" customFormat="1" x14ac:dyDescent="0.2"/>
    <row r="61" s="197" customFormat="1" x14ac:dyDescent="0.2"/>
    <row r="62" s="197" customFormat="1" x14ac:dyDescent="0.2"/>
    <row r="63" s="197" customFormat="1" x14ac:dyDescent="0.2"/>
    <row r="64" s="197" customFormat="1" x14ac:dyDescent="0.2"/>
    <row r="65" s="197" customFormat="1" x14ac:dyDescent="0.2"/>
    <row r="66" s="197" customFormat="1" x14ac:dyDescent="0.2"/>
    <row r="67" s="197" customFormat="1" x14ac:dyDescent="0.2"/>
    <row r="68" s="197" customFormat="1" x14ac:dyDescent="0.2"/>
    <row r="69" s="197" customFormat="1" x14ac:dyDescent="0.2"/>
    <row r="70" s="197" customFormat="1" x14ac:dyDescent="0.2"/>
    <row r="71" s="197" customFormat="1" x14ac:dyDescent="0.2"/>
    <row r="72" s="197" customFormat="1" x14ac:dyDescent="0.2"/>
    <row r="73" s="197" customFormat="1" x14ac:dyDescent="0.2"/>
    <row r="74" s="197" customFormat="1" x14ac:dyDescent="0.2"/>
    <row r="75" s="197" customFormat="1" x14ac:dyDescent="0.2"/>
    <row r="76" s="197" customFormat="1" x14ac:dyDescent="0.2"/>
    <row r="77" s="197" customFormat="1" x14ac:dyDescent="0.2"/>
    <row r="78" s="197" customFormat="1" x14ac:dyDescent="0.2"/>
    <row r="79" s="197" customFormat="1" x14ac:dyDescent="0.2"/>
    <row r="80" s="197" customFormat="1" x14ac:dyDescent="0.2"/>
    <row r="81" s="197" customFormat="1" x14ac:dyDescent="0.2"/>
    <row r="82" s="197" customFormat="1" x14ac:dyDescent="0.2"/>
    <row r="83" s="197" customFormat="1" x14ac:dyDescent="0.2"/>
    <row r="84" s="197" customFormat="1" x14ac:dyDescent="0.2"/>
    <row r="85" s="197" customFormat="1" x14ac:dyDescent="0.2"/>
    <row r="86" s="197" customFormat="1" x14ac:dyDescent="0.2"/>
    <row r="87" s="197" customFormat="1" x14ac:dyDescent="0.2"/>
    <row r="88" s="197" customFormat="1" x14ac:dyDescent="0.2"/>
    <row r="89" s="197" customFormat="1" x14ac:dyDescent="0.2"/>
    <row r="90" s="197" customFormat="1" x14ac:dyDescent="0.2"/>
    <row r="91" s="197" customFormat="1" x14ac:dyDescent="0.2"/>
    <row r="92" s="197" customFormat="1" x14ac:dyDescent="0.2"/>
    <row r="93" s="197" customFormat="1" x14ac:dyDescent="0.2"/>
    <row r="94" s="197" customFormat="1" x14ac:dyDescent="0.2"/>
    <row r="95" s="197" customFormat="1" x14ac:dyDescent="0.2"/>
    <row r="96" s="197" customFormat="1" x14ac:dyDescent="0.2"/>
    <row r="97" s="197" customFormat="1" x14ac:dyDescent="0.2"/>
    <row r="98" s="197" customFormat="1" x14ac:dyDescent="0.2"/>
    <row r="99" s="197" customFormat="1" x14ac:dyDescent="0.2"/>
    <row r="100" s="197" customFormat="1" x14ac:dyDescent="0.2"/>
    <row r="101" s="197" customFormat="1" x14ac:dyDescent="0.2"/>
    <row r="102" s="197" customFormat="1" x14ac:dyDescent="0.2"/>
    <row r="103" s="197" customFormat="1" x14ac:dyDescent="0.2"/>
    <row r="104" s="197" customFormat="1" x14ac:dyDescent="0.2"/>
    <row r="105" s="197" customFormat="1" x14ac:dyDescent="0.2"/>
    <row r="106" s="197" customFormat="1" x14ac:dyDescent="0.2"/>
    <row r="107" s="197" customFormat="1" x14ac:dyDescent="0.2"/>
    <row r="108" s="197" customFormat="1" x14ac:dyDescent="0.2"/>
    <row r="109" s="197" customFormat="1" x14ac:dyDescent="0.2"/>
    <row r="110" s="197" customFormat="1" x14ac:dyDescent="0.2"/>
    <row r="111" s="197" customFormat="1" x14ac:dyDescent="0.2"/>
    <row r="112" s="197" customFormat="1" x14ac:dyDescent="0.2"/>
    <row r="113" s="197" customFormat="1" x14ac:dyDescent="0.2"/>
    <row r="114" s="197" customFormat="1" x14ac:dyDescent="0.2"/>
    <row r="115" s="197" customFormat="1" x14ac:dyDescent="0.2"/>
    <row r="116" s="197" customFormat="1" x14ac:dyDescent="0.2"/>
    <row r="117" s="197" customFormat="1" x14ac:dyDescent="0.2"/>
    <row r="118" s="197" customFormat="1" x14ac:dyDescent="0.2"/>
    <row r="119" s="197" customFormat="1" x14ac:dyDescent="0.2"/>
    <row r="120" s="197" customFormat="1" x14ac:dyDescent="0.2"/>
    <row r="121" s="197" customFormat="1" x14ac:dyDescent="0.2"/>
    <row r="122" s="197" customFormat="1" x14ac:dyDescent="0.2"/>
    <row r="123" s="197" customFormat="1" x14ac:dyDescent="0.2"/>
    <row r="124" s="197" customFormat="1" x14ac:dyDescent="0.2"/>
    <row r="125" s="197" customFormat="1" x14ac:dyDescent="0.2"/>
    <row r="126" s="197" customFormat="1" x14ac:dyDescent="0.2"/>
    <row r="127" s="197" customFormat="1" x14ac:dyDescent="0.2"/>
    <row r="128" s="197" customFormat="1" x14ac:dyDescent="0.2"/>
    <row r="129" s="197" customFormat="1" x14ac:dyDescent="0.2"/>
    <row r="130" s="197" customFormat="1" x14ac:dyDescent="0.2"/>
    <row r="131" s="197" customFormat="1" x14ac:dyDescent="0.2"/>
    <row r="132" s="197" customFormat="1" x14ac:dyDescent="0.2"/>
    <row r="133" s="197" customFormat="1" x14ac:dyDescent="0.2"/>
    <row r="134" s="197" customFormat="1" x14ac:dyDescent="0.2"/>
    <row r="135" s="197" customFormat="1" x14ac:dyDescent="0.2"/>
    <row r="136" s="197" customFormat="1" x14ac:dyDescent="0.2"/>
    <row r="137" s="197" customFormat="1" x14ac:dyDescent="0.2"/>
    <row r="138" s="197" customFormat="1" x14ac:dyDescent="0.2"/>
    <row r="139" s="197" customFormat="1" x14ac:dyDescent="0.2"/>
    <row r="140" s="197" customFormat="1" x14ac:dyDescent="0.2"/>
    <row r="141" s="197" customFormat="1" x14ac:dyDescent="0.2"/>
    <row r="142" s="197" customFormat="1" x14ac:dyDescent="0.2"/>
    <row r="143" s="197" customFormat="1" x14ac:dyDescent="0.2"/>
    <row r="144" s="197" customFormat="1" x14ac:dyDescent="0.2"/>
    <row r="145" s="197" customFormat="1" x14ac:dyDescent="0.2"/>
    <row r="146" s="197" customFormat="1" x14ac:dyDescent="0.2"/>
    <row r="147" s="197" customFormat="1" x14ac:dyDescent="0.2"/>
    <row r="148" s="197" customFormat="1" x14ac:dyDescent="0.2"/>
    <row r="149" s="197" customFormat="1" x14ac:dyDescent="0.2"/>
    <row r="150" s="197" customFormat="1" x14ac:dyDescent="0.2"/>
    <row r="151" s="197" customFormat="1" x14ac:dyDescent="0.2"/>
    <row r="152" s="197" customFormat="1" x14ac:dyDescent="0.2"/>
    <row r="153" s="197" customFormat="1" x14ac:dyDescent="0.2"/>
    <row r="154" s="197" customFormat="1" x14ac:dyDescent="0.2"/>
    <row r="155" s="197" customFormat="1" x14ac:dyDescent="0.2"/>
    <row r="156" s="197" customFormat="1" x14ac:dyDescent="0.2"/>
    <row r="157" s="197" customFormat="1" x14ac:dyDescent="0.2"/>
    <row r="158" s="197" customFormat="1" x14ac:dyDescent="0.2"/>
    <row r="159" s="197" customFormat="1" x14ac:dyDescent="0.2"/>
    <row r="160" s="197" customFormat="1" x14ac:dyDescent="0.2"/>
    <row r="161" s="197" customFormat="1" x14ac:dyDescent="0.2"/>
    <row r="162" s="197" customFormat="1" x14ac:dyDescent="0.2"/>
    <row r="163" s="197" customFormat="1" x14ac:dyDescent="0.2"/>
    <row r="164" s="197" customFormat="1" x14ac:dyDescent="0.2"/>
    <row r="165" s="197" customFormat="1" x14ac:dyDescent="0.2"/>
    <row r="166" s="197" customFormat="1" x14ac:dyDescent="0.2"/>
    <row r="167" s="197" customFormat="1" x14ac:dyDescent="0.2"/>
    <row r="168" s="197" customFormat="1" x14ac:dyDescent="0.2"/>
    <row r="169" s="197" customFormat="1" x14ac:dyDescent="0.2"/>
    <row r="170" s="197" customFormat="1" x14ac:dyDescent="0.2"/>
    <row r="171" s="197" customFormat="1" x14ac:dyDescent="0.2"/>
    <row r="172" s="197" customFormat="1" x14ac:dyDescent="0.2"/>
    <row r="173" s="197" customFormat="1" x14ac:dyDescent="0.2"/>
    <row r="174" s="197" customFormat="1" x14ac:dyDescent="0.2"/>
    <row r="175" s="197" customFormat="1" x14ac:dyDescent="0.2"/>
    <row r="176" s="197" customFormat="1" x14ac:dyDescent="0.2"/>
    <row r="177" s="197" customFormat="1" x14ac:dyDescent="0.2"/>
    <row r="178" s="197" customFormat="1" x14ac:dyDescent="0.2"/>
    <row r="179" s="197" customFormat="1" x14ac:dyDescent="0.2"/>
    <row r="180" s="197" customFormat="1" x14ac:dyDescent="0.2"/>
    <row r="181" s="197" customFormat="1" x14ac:dyDescent="0.2"/>
    <row r="182" s="197" customFormat="1" x14ac:dyDescent="0.2"/>
    <row r="183" s="197" customFormat="1" x14ac:dyDescent="0.2"/>
    <row r="184" s="197" customFormat="1" x14ac:dyDescent="0.2"/>
    <row r="185" s="197" customFormat="1" x14ac:dyDescent="0.2"/>
    <row r="186" s="197" customFormat="1" x14ac:dyDescent="0.2"/>
    <row r="187" s="197" customFormat="1" x14ac:dyDescent="0.2"/>
    <row r="188" s="197" customFormat="1" x14ac:dyDescent="0.2"/>
    <row r="189" s="197" customFormat="1" x14ac:dyDescent="0.2"/>
    <row r="190" s="197" customFormat="1" x14ac:dyDescent="0.2"/>
    <row r="191" s="197" customFormat="1" x14ac:dyDescent="0.2"/>
  </sheetData>
  <mergeCells count="9">
    <mergeCell ref="H43:I43"/>
    <mergeCell ref="N43:O43"/>
    <mergeCell ref="A2:O2"/>
    <mergeCell ref="A28:U28"/>
    <mergeCell ref="A17:U17"/>
    <mergeCell ref="A4:U4"/>
    <mergeCell ref="A39:B39"/>
    <mergeCell ref="A5:P5"/>
    <mergeCell ref="Q5:U5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85" orientation="landscape" verticalDpi="144" r:id="rId1"/>
  <headerFooter alignWithMargins="0">
    <oddFooter>עמוד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W44"/>
  <sheetViews>
    <sheetView showGridLines="0" rightToLeft="1" view="pageLayout" topLeftCell="B1" workbookViewId="0">
      <selection activeCell="B14" sqref="B14"/>
    </sheetView>
  </sheetViews>
  <sheetFormatPr defaultRowHeight="12.75" x14ac:dyDescent="0.2"/>
  <cols>
    <col min="1" max="1" width="12.7109375" customWidth="1"/>
    <col min="2" max="2" width="14.85546875" customWidth="1"/>
    <col min="3" max="3" width="9.28515625" hidden="1" customWidth="1"/>
    <col min="4" max="10" width="10.42578125" hidden="1" customWidth="1"/>
    <col min="11" max="23" width="10.42578125" customWidth="1"/>
  </cols>
  <sheetData>
    <row r="2" spans="1:23" s="12" customFormat="1" ht="15.75" x14ac:dyDescent="0.25">
      <c r="O2" s="155" t="s">
        <v>462</v>
      </c>
    </row>
    <row r="3" spans="1:23" s="12" customFormat="1" ht="15.75" x14ac:dyDescent="0.25">
      <c r="I3" s="155"/>
    </row>
    <row r="4" spans="1:23" s="12" customFormat="1" ht="26.25" customHeight="1" x14ac:dyDescent="0.3">
      <c r="A4" s="1447" t="s">
        <v>463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</row>
    <row r="5" spans="1:23" s="12" customFormat="1" ht="26.25" customHeight="1" x14ac:dyDescent="0.3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N5" s="778"/>
      <c r="O5" s="778"/>
      <c r="P5" s="778"/>
      <c r="Q5" s="778"/>
      <c r="R5" s="778"/>
      <c r="S5" s="778"/>
      <c r="T5" s="778"/>
      <c r="U5" s="778"/>
      <c r="V5" s="778"/>
    </row>
    <row r="6" spans="1:23" s="12" customFormat="1" ht="19.5" thickBot="1" x14ac:dyDescent="0.35">
      <c r="A6" s="773"/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N6" s="773"/>
      <c r="O6" s="773"/>
      <c r="P6" s="773"/>
      <c r="Q6" s="773"/>
      <c r="R6" s="773"/>
      <c r="S6" s="773"/>
      <c r="T6" s="773"/>
      <c r="U6" s="773"/>
      <c r="V6" s="773"/>
    </row>
    <row r="7" spans="1:23" s="239" customFormat="1" ht="15.75" thickBot="1" x14ac:dyDescent="0.3">
      <c r="B7" s="1448" t="s">
        <v>464</v>
      </c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50"/>
      <c r="S7" s="1448" t="s">
        <v>0</v>
      </c>
      <c r="T7" s="1449"/>
      <c r="U7" s="1449"/>
      <c r="V7" s="1449"/>
      <c r="W7" s="1450"/>
    </row>
    <row r="8" spans="1:23" s="232" customFormat="1" ht="36.75" customHeight="1" x14ac:dyDescent="0.2">
      <c r="A8" s="231" t="s">
        <v>465</v>
      </c>
      <c r="B8" s="341" t="s">
        <v>466</v>
      </c>
      <c r="C8" s="341" t="s">
        <v>467</v>
      </c>
      <c r="D8" s="341" t="s">
        <v>468</v>
      </c>
      <c r="E8" s="341" t="s">
        <v>469</v>
      </c>
      <c r="F8" s="341" t="s">
        <v>470</v>
      </c>
      <c r="G8" s="341" t="s">
        <v>219</v>
      </c>
      <c r="H8" s="341" t="s">
        <v>442</v>
      </c>
      <c r="I8" s="341" t="s">
        <v>443</v>
      </c>
      <c r="J8" s="341" t="s">
        <v>444</v>
      </c>
      <c r="K8" s="341" t="s">
        <v>445</v>
      </c>
      <c r="L8" s="341" t="s">
        <v>471</v>
      </c>
      <c r="M8" s="341" t="s">
        <v>447</v>
      </c>
      <c r="N8" s="341" t="s">
        <v>472</v>
      </c>
      <c r="O8" s="341" t="s">
        <v>473</v>
      </c>
      <c r="P8" s="341" t="s">
        <v>474</v>
      </c>
      <c r="Q8" s="341" t="s">
        <v>451</v>
      </c>
      <c r="R8" s="341" t="s">
        <v>475</v>
      </c>
      <c r="S8" s="203" t="s">
        <v>221</v>
      </c>
      <c r="T8" s="203" t="s">
        <v>222</v>
      </c>
      <c r="U8" s="203" t="s">
        <v>223</v>
      </c>
      <c r="V8" s="203" t="s">
        <v>476</v>
      </c>
      <c r="W8" s="340" t="s">
        <v>224</v>
      </c>
    </row>
    <row r="9" spans="1:23" s="12" customFormat="1" ht="28.5" customHeight="1" x14ac:dyDescent="0.2">
      <c r="A9" s="233" t="s">
        <v>43</v>
      </c>
      <c r="B9" s="234"/>
    </row>
    <row r="10" spans="1:23" s="12" customFormat="1" ht="18.75" customHeight="1" x14ac:dyDescent="0.2">
      <c r="A10" s="235">
        <v>999999999</v>
      </c>
      <c r="B10" s="208" t="s">
        <v>477</v>
      </c>
      <c r="C10" s="170">
        <v>40890</v>
      </c>
      <c r="D10" s="170">
        <v>15463</v>
      </c>
      <c r="E10" s="170">
        <v>19345</v>
      </c>
      <c r="F10" s="170">
        <v>15784</v>
      </c>
      <c r="G10" s="170">
        <v>18146</v>
      </c>
      <c r="H10" s="170">
        <v>15435</v>
      </c>
      <c r="I10" s="170">
        <v>17555</v>
      </c>
      <c r="J10" s="170">
        <v>17559</v>
      </c>
      <c r="K10" s="170">
        <v>17249</v>
      </c>
      <c r="L10" s="170">
        <v>18510</v>
      </c>
      <c r="M10" s="170">
        <v>18851</v>
      </c>
      <c r="N10" s="170">
        <v>18843</v>
      </c>
      <c r="O10" s="170">
        <v>19098</v>
      </c>
      <c r="P10" s="170">
        <v>19247</v>
      </c>
      <c r="Q10" s="170">
        <v>9716</v>
      </c>
      <c r="R10" s="170">
        <v>19494</v>
      </c>
      <c r="S10" s="170">
        <v>8728</v>
      </c>
      <c r="T10" s="170">
        <v>7464</v>
      </c>
      <c r="U10" s="170">
        <v>10441</v>
      </c>
      <c r="V10" s="170">
        <v>8347</v>
      </c>
      <c r="W10" s="170">
        <v>9217</v>
      </c>
    </row>
    <row r="11" spans="1:23" s="239" customFormat="1" ht="15.75" customHeight="1" x14ac:dyDescent="0.25">
      <c r="A11" s="236" t="s">
        <v>143</v>
      </c>
      <c r="B11" s="237"/>
      <c r="C11" s="238">
        <f t="shared" ref="C11:J11" si="0">SUM(C10:C10)</f>
        <v>40890</v>
      </c>
      <c r="D11" s="238">
        <f t="shared" si="0"/>
        <v>15463</v>
      </c>
      <c r="E11" s="238">
        <f t="shared" si="0"/>
        <v>19345</v>
      </c>
      <c r="F11" s="238">
        <f t="shared" si="0"/>
        <v>15784</v>
      </c>
      <c r="G11" s="238">
        <f t="shared" si="0"/>
        <v>18146</v>
      </c>
      <c r="H11" s="238">
        <f t="shared" si="0"/>
        <v>15435</v>
      </c>
      <c r="I11" s="238">
        <f t="shared" si="0"/>
        <v>17555</v>
      </c>
      <c r="J11" s="238">
        <f t="shared" si="0"/>
        <v>17559</v>
      </c>
      <c r="K11" s="238">
        <f t="shared" ref="K11:W11" si="1">SUM(K10)</f>
        <v>17249</v>
      </c>
      <c r="L11" s="238">
        <f t="shared" si="1"/>
        <v>18510</v>
      </c>
      <c r="M11" s="238">
        <f t="shared" si="1"/>
        <v>18851</v>
      </c>
      <c r="N11" s="238">
        <f t="shared" si="1"/>
        <v>18843</v>
      </c>
      <c r="O11" s="238">
        <f t="shared" si="1"/>
        <v>19098</v>
      </c>
      <c r="P11" s="238">
        <f t="shared" si="1"/>
        <v>19247</v>
      </c>
      <c r="Q11" s="238">
        <f t="shared" si="1"/>
        <v>9716</v>
      </c>
      <c r="R11" s="238">
        <f t="shared" si="1"/>
        <v>19494</v>
      </c>
      <c r="S11" s="238">
        <f t="shared" si="1"/>
        <v>8728</v>
      </c>
      <c r="T11" s="238">
        <f t="shared" si="1"/>
        <v>7464</v>
      </c>
      <c r="U11" s="238">
        <f t="shared" si="1"/>
        <v>10441</v>
      </c>
      <c r="V11" s="238">
        <f t="shared" si="1"/>
        <v>8347</v>
      </c>
      <c r="W11" s="238">
        <f t="shared" si="1"/>
        <v>9217</v>
      </c>
    </row>
    <row r="12" spans="1:23" s="57" customFormat="1" ht="15" customHeight="1" x14ac:dyDescent="0.2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</row>
    <row r="13" spans="1:23" s="12" customFormat="1" ht="21" customHeight="1" x14ac:dyDescent="0.2">
      <c r="A13" s="242" t="s">
        <v>46</v>
      </c>
      <c r="B13" s="13"/>
    </row>
    <row r="14" spans="1:23" s="12" customFormat="1" ht="16.5" customHeight="1" x14ac:dyDescent="0.2">
      <c r="A14" s="235">
        <v>999999999</v>
      </c>
      <c r="B14" s="208" t="s">
        <v>477</v>
      </c>
      <c r="C14" s="170">
        <v>11582</v>
      </c>
      <c r="D14" s="170">
        <v>11205</v>
      </c>
      <c r="E14" s="170">
        <v>11863</v>
      </c>
      <c r="F14" s="170">
        <v>9318</v>
      </c>
      <c r="G14" s="170">
        <v>10242</v>
      </c>
      <c r="H14" s="170">
        <v>8303</v>
      </c>
      <c r="I14" s="170">
        <v>8643</v>
      </c>
      <c r="J14" s="170">
        <v>9702</v>
      </c>
      <c r="K14" s="170">
        <v>8750</v>
      </c>
      <c r="L14" s="170">
        <v>13158</v>
      </c>
      <c r="M14" s="170">
        <v>14477</v>
      </c>
      <c r="N14" s="170">
        <v>12069</v>
      </c>
      <c r="O14" s="170">
        <v>13084</v>
      </c>
      <c r="P14" s="170">
        <v>13213</v>
      </c>
      <c r="Q14" s="170">
        <v>6725</v>
      </c>
      <c r="R14" s="170">
        <v>13450</v>
      </c>
      <c r="S14" s="170">
        <v>6375</v>
      </c>
      <c r="T14" s="170">
        <v>5391</v>
      </c>
      <c r="U14" s="170">
        <v>6190</v>
      </c>
      <c r="V14" s="170">
        <v>6094</v>
      </c>
      <c r="W14" s="170">
        <v>6767</v>
      </c>
    </row>
    <row r="15" spans="1:23" s="239" customFormat="1" ht="15.75" customHeight="1" x14ac:dyDescent="0.25">
      <c r="A15" s="236" t="s">
        <v>143</v>
      </c>
      <c r="B15" s="237"/>
      <c r="C15" s="238">
        <f t="shared" ref="C15:W15" si="2">SUM(C14:C14)</f>
        <v>11582</v>
      </c>
      <c r="D15" s="238">
        <f t="shared" si="2"/>
        <v>11205</v>
      </c>
      <c r="E15" s="238">
        <f t="shared" si="2"/>
        <v>11863</v>
      </c>
      <c r="F15" s="238">
        <f t="shared" si="2"/>
        <v>9318</v>
      </c>
      <c r="G15" s="238">
        <f t="shared" si="2"/>
        <v>10242</v>
      </c>
      <c r="H15" s="238">
        <f t="shared" si="2"/>
        <v>8303</v>
      </c>
      <c r="I15" s="238">
        <f t="shared" si="2"/>
        <v>8643</v>
      </c>
      <c r="J15" s="238">
        <f t="shared" si="2"/>
        <v>9702</v>
      </c>
      <c r="K15" s="238">
        <f t="shared" si="2"/>
        <v>8750</v>
      </c>
      <c r="L15" s="238">
        <f t="shared" si="2"/>
        <v>13158</v>
      </c>
      <c r="M15" s="238">
        <f t="shared" si="2"/>
        <v>14477</v>
      </c>
      <c r="N15" s="238">
        <f t="shared" si="2"/>
        <v>12069</v>
      </c>
      <c r="O15" s="238">
        <f t="shared" si="2"/>
        <v>13084</v>
      </c>
      <c r="P15" s="238">
        <f t="shared" si="2"/>
        <v>13213</v>
      </c>
      <c r="Q15" s="238">
        <f t="shared" si="2"/>
        <v>6725</v>
      </c>
      <c r="R15" s="238">
        <f t="shared" si="2"/>
        <v>13450</v>
      </c>
      <c r="S15" s="238">
        <f t="shared" si="2"/>
        <v>6375</v>
      </c>
      <c r="T15" s="238">
        <f t="shared" si="2"/>
        <v>5391</v>
      </c>
      <c r="U15" s="238">
        <f t="shared" si="2"/>
        <v>6190</v>
      </c>
      <c r="V15" s="238">
        <f t="shared" si="2"/>
        <v>6094</v>
      </c>
      <c r="W15" s="238">
        <f t="shared" si="2"/>
        <v>6767</v>
      </c>
    </row>
    <row r="16" spans="1:23" s="57" customFormat="1" ht="15" customHeight="1" x14ac:dyDescent="0.2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</row>
    <row r="17" spans="1:23" s="12" customFormat="1" ht="21" customHeight="1" x14ac:dyDescent="0.2">
      <c r="A17" s="242" t="s">
        <v>49</v>
      </c>
      <c r="B17" s="13"/>
    </row>
    <row r="18" spans="1:23" s="12" customFormat="1" ht="15.75" customHeight="1" x14ac:dyDescent="0.2">
      <c r="A18" s="235">
        <v>999999999</v>
      </c>
      <c r="B18" s="208" t="s">
        <v>477</v>
      </c>
      <c r="C18" s="170">
        <v>5128</v>
      </c>
      <c r="D18" s="170">
        <v>5044</v>
      </c>
      <c r="E18" s="170">
        <v>6107</v>
      </c>
      <c r="F18" s="170">
        <v>4949</v>
      </c>
      <c r="G18" s="170">
        <v>6017</v>
      </c>
      <c r="H18" s="170">
        <v>5957</v>
      </c>
      <c r="I18" s="170">
        <v>5855</v>
      </c>
      <c r="J18" s="170">
        <v>6060</v>
      </c>
      <c r="K18" s="170">
        <v>6416</v>
      </c>
      <c r="L18" s="170">
        <v>6999</v>
      </c>
      <c r="M18" s="170">
        <v>7562</v>
      </c>
      <c r="N18" s="170">
        <v>7008</v>
      </c>
      <c r="O18" s="170">
        <v>7797</v>
      </c>
      <c r="P18" s="170">
        <v>7611</v>
      </c>
      <c r="Q18" s="170">
        <v>3756</v>
      </c>
      <c r="R18" s="170">
        <v>7512</v>
      </c>
      <c r="S18" s="170">
        <v>3076</v>
      </c>
      <c r="T18" s="170">
        <v>3629</v>
      </c>
      <c r="U18" s="170">
        <v>3261</v>
      </c>
      <c r="V18" s="170">
        <v>4503</v>
      </c>
      <c r="W18" s="170">
        <v>4514</v>
      </c>
    </row>
    <row r="19" spans="1:23" s="239" customFormat="1" ht="15.75" customHeight="1" x14ac:dyDescent="0.25">
      <c r="A19" s="243" t="s">
        <v>143</v>
      </c>
      <c r="B19" s="244"/>
      <c r="C19" s="245">
        <f t="shared" ref="C19:W19" si="3">SUM(C18:C18)</f>
        <v>5128</v>
      </c>
      <c r="D19" s="245">
        <f t="shared" si="3"/>
        <v>5044</v>
      </c>
      <c r="E19" s="245">
        <f t="shared" si="3"/>
        <v>6107</v>
      </c>
      <c r="F19" s="245">
        <f t="shared" si="3"/>
        <v>4949</v>
      </c>
      <c r="G19" s="245">
        <f t="shared" si="3"/>
        <v>6017</v>
      </c>
      <c r="H19" s="245">
        <f t="shared" si="3"/>
        <v>5957</v>
      </c>
      <c r="I19" s="245">
        <f t="shared" si="3"/>
        <v>5855</v>
      </c>
      <c r="J19" s="245">
        <f t="shared" si="3"/>
        <v>6060</v>
      </c>
      <c r="K19" s="245">
        <f t="shared" si="3"/>
        <v>6416</v>
      </c>
      <c r="L19" s="245">
        <f t="shared" si="3"/>
        <v>6999</v>
      </c>
      <c r="M19" s="245">
        <f t="shared" si="3"/>
        <v>7562</v>
      </c>
      <c r="N19" s="245">
        <f t="shared" si="3"/>
        <v>7008</v>
      </c>
      <c r="O19" s="245">
        <f t="shared" si="3"/>
        <v>7797</v>
      </c>
      <c r="P19" s="245">
        <f t="shared" si="3"/>
        <v>7611</v>
      </c>
      <c r="Q19" s="245">
        <f t="shared" si="3"/>
        <v>3756</v>
      </c>
      <c r="R19" s="245">
        <f t="shared" si="3"/>
        <v>7512</v>
      </c>
      <c r="S19" s="245">
        <f t="shared" si="3"/>
        <v>3076</v>
      </c>
      <c r="T19" s="245">
        <f t="shared" si="3"/>
        <v>3629</v>
      </c>
      <c r="U19" s="245">
        <f t="shared" si="3"/>
        <v>3261</v>
      </c>
      <c r="V19" s="245">
        <f t="shared" si="3"/>
        <v>4503</v>
      </c>
      <c r="W19" s="245">
        <f t="shared" si="3"/>
        <v>4514</v>
      </c>
    </row>
    <row r="20" spans="1:23" s="57" customFormat="1" x14ac:dyDescent="0.2">
      <c r="A20" s="240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</row>
    <row r="21" spans="1:23" s="12" customFormat="1" ht="22.5" customHeight="1" thickBot="1" x14ac:dyDescent="0.25">
      <c r="A21" s="24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57" customFormat="1" ht="19.5" customHeight="1" thickBot="1" x14ac:dyDescent="0.3">
      <c r="A22" s="248" t="s">
        <v>478</v>
      </c>
      <c r="B22" s="249"/>
      <c r="C22" s="250">
        <f t="shared" ref="C22:W22" si="4">C11+C15+C19</f>
        <v>57600</v>
      </c>
      <c r="D22" s="250">
        <f t="shared" si="4"/>
        <v>31712</v>
      </c>
      <c r="E22" s="250">
        <f t="shared" si="4"/>
        <v>37315</v>
      </c>
      <c r="F22" s="250">
        <f t="shared" si="4"/>
        <v>30051</v>
      </c>
      <c r="G22" s="250">
        <f t="shared" si="4"/>
        <v>34405</v>
      </c>
      <c r="H22" s="250">
        <f t="shared" si="4"/>
        <v>29695</v>
      </c>
      <c r="I22" s="250">
        <f t="shared" si="4"/>
        <v>32053</v>
      </c>
      <c r="J22" s="250">
        <f t="shared" si="4"/>
        <v>33321</v>
      </c>
      <c r="K22" s="250">
        <f t="shared" si="4"/>
        <v>32415</v>
      </c>
      <c r="L22" s="250">
        <f t="shared" si="4"/>
        <v>38667</v>
      </c>
      <c r="M22" s="250">
        <f t="shared" si="4"/>
        <v>40890</v>
      </c>
      <c r="N22" s="250">
        <f t="shared" si="4"/>
        <v>37920</v>
      </c>
      <c r="O22" s="250">
        <f t="shared" si="4"/>
        <v>39979</v>
      </c>
      <c r="P22" s="250">
        <f t="shared" si="4"/>
        <v>40071</v>
      </c>
      <c r="Q22" s="250">
        <f t="shared" si="4"/>
        <v>20197</v>
      </c>
      <c r="R22" s="250">
        <f t="shared" si="4"/>
        <v>40456</v>
      </c>
      <c r="S22" s="250">
        <f t="shared" si="4"/>
        <v>18179</v>
      </c>
      <c r="T22" s="250">
        <f t="shared" si="4"/>
        <v>16484</v>
      </c>
      <c r="U22" s="250">
        <f t="shared" si="4"/>
        <v>19892</v>
      </c>
      <c r="V22" s="250">
        <f t="shared" si="4"/>
        <v>18944</v>
      </c>
      <c r="W22" s="250">
        <f t="shared" si="4"/>
        <v>20498</v>
      </c>
    </row>
    <row r="23" spans="1:23" s="57" customFormat="1" ht="19.5" customHeight="1" x14ac:dyDescent="0.2">
      <c r="A23" s="25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</row>
    <row r="24" spans="1:23" s="57" customFormat="1" ht="19.5" customHeight="1" x14ac:dyDescent="0.2">
      <c r="A24" s="25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</row>
    <row r="25" spans="1:23" s="57" customFormat="1" ht="19.5" customHeight="1" x14ac:dyDescent="0.2">
      <c r="A25" s="25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</row>
    <row r="26" spans="1:23" s="12" customFormat="1" ht="13.5" thickBot="1" x14ac:dyDescent="0.25">
      <c r="A26" s="195"/>
      <c r="F26" s="195"/>
      <c r="L26" s="195"/>
      <c r="N26" s="195"/>
      <c r="O26" s="13"/>
      <c r="P26" s="13"/>
      <c r="Q26" s="13"/>
      <c r="R26" s="13"/>
      <c r="S26" s="13"/>
      <c r="T26" s="13"/>
      <c r="U26" s="13"/>
      <c r="V26" s="13"/>
    </row>
    <row r="27" spans="1:23" s="57" customFormat="1" x14ac:dyDescent="0.2">
      <c r="A27" s="776" t="s">
        <v>236</v>
      </c>
      <c r="F27" s="776" t="s">
        <v>434</v>
      </c>
      <c r="L27" s="776" t="s">
        <v>157</v>
      </c>
      <c r="N27" s="776" t="s">
        <v>157</v>
      </c>
      <c r="O27" s="776"/>
      <c r="P27" s="776"/>
      <c r="Q27" s="776"/>
      <c r="R27" s="776"/>
      <c r="S27" s="776"/>
      <c r="T27" s="776"/>
      <c r="U27" s="776"/>
      <c r="V27" s="776"/>
    </row>
    <row r="28" spans="1:23" s="12" customFormat="1" x14ac:dyDescent="0.2">
      <c r="A28" s="553"/>
      <c r="F28" s="553"/>
      <c r="L28" s="553"/>
      <c r="N28" s="553"/>
      <c r="O28" s="553"/>
      <c r="P28" s="553"/>
      <c r="Q28" s="553"/>
      <c r="R28" s="553"/>
      <c r="S28" s="553"/>
      <c r="T28" s="553"/>
      <c r="U28" s="553"/>
      <c r="V28" s="553"/>
    </row>
    <row r="29" spans="1:23" s="12" customFormat="1" x14ac:dyDescent="0.2"/>
    <row r="30" spans="1:23" s="12" customFormat="1" x14ac:dyDescent="0.2"/>
    <row r="31" spans="1:23" s="12" customFormat="1" x14ac:dyDescent="0.2"/>
    <row r="32" spans="1:23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</sheetData>
  <mergeCells count="3">
    <mergeCell ref="A4:W4"/>
    <mergeCell ref="B7:R7"/>
    <mergeCell ref="S7:W7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85" orientation="landscape" verticalDpi="300" r:id="rId1"/>
  <headerFooter alignWithMargins="0">
    <oddFooter>עמוד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1:Q42"/>
  <sheetViews>
    <sheetView showGridLines="0" rightToLeft="1" view="pageLayout" workbookViewId="0">
      <selection activeCell="B14" sqref="B14"/>
    </sheetView>
  </sheetViews>
  <sheetFormatPr defaultRowHeight="12.75" x14ac:dyDescent="0.2"/>
  <cols>
    <col min="1" max="1" width="21.7109375" customWidth="1"/>
    <col min="2" max="4" width="9.42578125" hidden="1" customWidth="1"/>
    <col min="5" max="7" width="9.42578125" customWidth="1"/>
    <col min="8" max="8" width="8.7109375" customWidth="1"/>
    <col min="9" max="16" width="9.42578125" customWidth="1"/>
  </cols>
  <sheetData>
    <row r="1" spans="1:17" s="12" customFormat="1" ht="13.5" customHeight="1" x14ac:dyDescent="0.2"/>
    <row r="2" spans="1:17" s="156" customFormat="1" ht="18.75" x14ac:dyDescent="0.3">
      <c r="A2" s="252"/>
      <c r="B2" s="252"/>
      <c r="C2" s="252"/>
      <c r="D2" s="252"/>
      <c r="E2" s="252"/>
      <c r="F2" s="252"/>
      <c r="H2" s="252"/>
      <c r="I2" s="253" t="s">
        <v>217</v>
      </c>
      <c r="J2" s="252"/>
      <c r="K2" s="252"/>
      <c r="L2" s="252"/>
      <c r="M2" s="252"/>
      <c r="N2" s="252"/>
      <c r="O2" s="252"/>
      <c r="P2" s="252"/>
    </row>
    <row r="3" spans="1:17" s="12" customFormat="1" ht="18.75" x14ac:dyDescent="0.3">
      <c r="A3" s="1439" t="s">
        <v>479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777"/>
      <c r="P3" s="777"/>
    </row>
    <row r="4" spans="1:17" s="12" customFormat="1" ht="16.5" thickBot="1" x14ac:dyDescent="0.3">
      <c r="A4" s="764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</row>
    <row r="5" spans="1:17" s="12" customFormat="1" ht="17.25" thickBot="1" x14ac:dyDescent="0.3">
      <c r="A5" s="1451" t="s">
        <v>396</v>
      </c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3"/>
    </row>
    <row r="6" spans="1:17" s="12" customFormat="1" ht="17.25" thickBot="1" x14ac:dyDescent="0.3">
      <c r="A6" s="342"/>
      <c r="B6" s="78"/>
      <c r="C6" s="78"/>
      <c r="D6" s="78"/>
      <c r="E6" s="78"/>
      <c r="F6" s="78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4"/>
    </row>
    <row r="7" spans="1:17" s="258" customFormat="1" ht="33" x14ac:dyDescent="0.25">
      <c r="A7" s="254"/>
      <c r="B7" s="255" t="s">
        <v>442</v>
      </c>
      <c r="C7" s="255" t="s">
        <v>480</v>
      </c>
      <c r="D7" s="255" t="s">
        <v>481</v>
      </c>
      <c r="E7" s="255" t="s">
        <v>482</v>
      </c>
      <c r="F7" s="255" t="s">
        <v>483</v>
      </c>
      <c r="G7" s="256" t="s">
        <v>484</v>
      </c>
      <c r="H7" s="257" t="s">
        <v>485</v>
      </c>
      <c r="I7" s="257" t="s">
        <v>486</v>
      </c>
      <c r="J7" s="257" t="s">
        <v>487</v>
      </c>
      <c r="K7" s="257" t="s">
        <v>452</v>
      </c>
      <c r="L7" s="257" t="s">
        <v>488</v>
      </c>
      <c r="M7" s="257" t="s">
        <v>489</v>
      </c>
      <c r="N7" s="257" t="s">
        <v>490</v>
      </c>
      <c r="O7" s="257" t="s">
        <v>491</v>
      </c>
      <c r="P7" s="257" t="s">
        <v>492</v>
      </c>
      <c r="Q7" s="257" t="s">
        <v>493</v>
      </c>
    </row>
    <row r="8" spans="1:17" s="104" customFormat="1" ht="20.100000000000001" customHeight="1" x14ac:dyDescent="0.25">
      <c r="A8" s="259" t="s">
        <v>494</v>
      </c>
      <c r="B8" s="260">
        <v>5320</v>
      </c>
      <c r="C8" s="260">
        <v>6394</v>
      </c>
      <c r="D8" s="260">
        <v>6400</v>
      </c>
      <c r="E8" s="260">
        <v>7618</v>
      </c>
      <c r="F8" s="260">
        <v>7500</v>
      </c>
      <c r="G8" s="260">
        <v>8205</v>
      </c>
      <c r="H8" s="260">
        <v>8300</v>
      </c>
      <c r="I8" s="261">
        <v>8612</v>
      </c>
      <c r="J8" s="261">
        <v>7170</v>
      </c>
      <c r="K8" s="261">
        <v>8696</v>
      </c>
      <c r="L8" s="261">
        <v>1048</v>
      </c>
      <c r="M8" s="261">
        <v>514</v>
      </c>
      <c r="N8" s="262">
        <v>2057</v>
      </c>
      <c r="O8" s="262">
        <v>2351</v>
      </c>
      <c r="P8" s="262">
        <v>2350</v>
      </c>
      <c r="Q8" s="262">
        <v>2300</v>
      </c>
    </row>
    <row r="9" spans="1:17" s="104" customFormat="1" ht="20.100000000000001" customHeight="1" x14ac:dyDescent="0.25">
      <c r="A9" s="259"/>
      <c r="B9" s="260"/>
      <c r="C9" s="260"/>
      <c r="D9" s="260"/>
      <c r="E9" s="260"/>
      <c r="F9" s="260"/>
      <c r="G9" s="260"/>
      <c r="H9" s="260"/>
      <c r="I9" s="261"/>
      <c r="J9" s="261"/>
      <c r="K9" s="261"/>
      <c r="L9" s="261"/>
      <c r="M9" s="261"/>
      <c r="N9" s="262"/>
      <c r="O9" s="262"/>
      <c r="P9" s="262"/>
      <c r="Q9" s="262"/>
    </row>
    <row r="10" spans="1:17" s="104" customFormat="1" ht="20.100000000000001" customHeight="1" x14ac:dyDescent="0.25">
      <c r="A10" s="259" t="s">
        <v>495</v>
      </c>
      <c r="B10" s="260"/>
      <c r="C10" s="260"/>
      <c r="D10" s="260"/>
      <c r="E10" s="260"/>
      <c r="F10" s="260"/>
      <c r="G10" s="260"/>
      <c r="H10" s="260"/>
      <c r="I10" s="261"/>
      <c r="J10" s="261"/>
      <c r="K10" s="261"/>
      <c r="L10" s="261"/>
      <c r="M10" s="261"/>
      <c r="N10" s="262">
        <v>400</v>
      </c>
      <c r="O10" s="262"/>
      <c r="P10" s="262">
        <v>900</v>
      </c>
      <c r="Q10" s="262">
        <v>1400</v>
      </c>
    </row>
    <row r="11" spans="1:17" s="104" customFormat="1" ht="20.100000000000001" customHeight="1" x14ac:dyDescent="0.25">
      <c r="A11" s="259"/>
      <c r="B11" s="260"/>
      <c r="C11" s="260"/>
      <c r="D11" s="260"/>
      <c r="E11" s="260"/>
      <c r="F11" s="260"/>
      <c r="G11" s="260"/>
      <c r="H11" s="260"/>
      <c r="I11" s="261"/>
      <c r="J11" s="261"/>
      <c r="K11" s="261"/>
      <c r="L11" s="261"/>
      <c r="M11" s="261"/>
      <c r="N11" s="262"/>
      <c r="O11" s="262"/>
      <c r="P11" s="262"/>
      <c r="Q11" s="262"/>
    </row>
    <row r="12" spans="1:17" s="104" customFormat="1" ht="20.100000000000001" customHeight="1" x14ac:dyDescent="0.25">
      <c r="A12" s="259" t="s">
        <v>496</v>
      </c>
      <c r="B12" s="260"/>
      <c r="C12" s="260"/>
      <c r="D12" s="260"/>
      <c r="E12" s="260"/>
      <c r="F12" s="260"/>
      <c r="G12" s="260"/>
      <c r="H12" s="260"/>
      <c r="I12" s="261"/>
      <c r="J12" s="261"/>
      <c r="K12" s="261"/>
      <c r="L12" s="261"/>
      <c r="M12" s="261"/>
      <c r="N12" s="262"/>
      <c r="O12" s="262"/>
      <c r="P12" s="262"/>
      <c r="Q12" s="262"/>
    </row>
    <row r="13" spans="1:17" s="104" customFormat="1" ht="20.100000000000001" customHeight="1" x14ac:dyDescent="0.25">
      <c r="A13" s="259"/>
      <c r="B13" s="260"/>
      <c r="C13" s="260"/>
      <c r="D13" s="260"/>
      <c r="E13" s="260"/>
      <c r="F13" s="260"/>
      <c r="G13" s="260"/>
      <c r="H13" s="260"/>
      <c r="I13" s="261"/>
      <c r="J13" s="261"/>
      <c r="K13" s="261"/>
      <c r="L13" s="261"/>
      <c r="M13" s="261"/>
      <c r="N13" s="262"/>
      <c r="O13" s="262"/>
      <c r="P13" s="262"/>
      <c r="Q13" s="262"/>
    </row>
    <row r="14" spans="1:17" s="104" customFormat="1" ht="20.100000000000001" customHeight="1" x14ac:dyDescent="0.25">
      <c r="A14" s="259" t="s">
        <v>497</v>
      </c>
      <c r="B14" s="260">
        <v>7981</v>
      </c>
      <c r="C14" s="260">
        <v>7143</v>
      </c>
      <c r="D14" s="260">
        <v>7500</v>
      </c>
      <c r="E14" s="260">
        <v>5797</v>
      </c>
      <c r="F14" s="260">
        <v>6100</v>
      </c>
      <c r="G14" s="260">
        <v>5656</v>
      </c>
      <c r="H14" s="260">
        <v>6000</v>
      </c>
      <c r="I14" s="261">
        <v>5866</v>
      </c>
      <c r="J14" s="261">
        <v>6000</v>
      </c>
      <c r="K14" s="261">
        <v>5128</v>
      </c>
      <c r="L14" s="261">
        <v>1161</v>
      </c>
      <c r="M14" s="261">
        <v>1639</v>
      </c>
      <c r="N14" s="262">
        <v>1677</v>
      </c>
      <c r="O14" s="262">
        <v>1531</v>
      </c>
      <c r="P14" s="262">
        <v>800</v>
      </c>
      <c r="Q14" s="262">
        <v>800</v>
      </c>
    </row>
    <row r="15" spans="1:17" s="12" customFormat="1" ht="20.100000000000001" customHeight="1" x14ac:dyDescent="0.2">
      <c r="A15" s="263"/>
      <c r="B15" s="264"/>
      <c r="C15" s="264"/>
      <c r="D15" s="264"/>
      <c r="E15" s="264"/>
      <c r="F15" s="264"/>
      <c r="G15" s="264"/>
      <c r="H15" s="264"/>
      <c r="I15" s="265"/>
      <c r="J15" s="265"/>
      <c r="K15" s="265"/>
      <c r="L15" s="265"/>
      <c r="M15" s="265"/>
      <c r="N15" s="266"/>
      <c r="O15" s="266"/>
      <c r="P15" s="266"/>
      <c r="Q15" s="266"/>
    </row>
    <row r="16" spans="1:17" s="17" customFormat="1" ht="20.100000000000001" customHeight="1" thickBot="1" x14ac:dyDescent="0.3">
      <c r="A16" s="267" t="s">
        <v>53</v>
      </c>
      <c r="B16" s="268">
        <f t="shared" ref="B16:Q16" si="0">SUM(B8:B15)</f>
        <v>13301</v>
      </c>
      <c r="C16" s="268">
        <f t="shared" si="0"/>
        <v>13537</v>
      </c>
      <c r="D16" s="268">
        <f t="shared" si="0"/>
        <v>13900</v>
      </c>
      <c r="E16" s="268">
        <f t="shared" si="0"/>
        <v>13415</v>
      </c>
      <c r="F16" s="268">
        <f t="shared" si="0"/>
        <v>13600</v>
      </c>
      <c r="G16" s="268">
        <f t="shared" si="0"/>
        <v>13861</v>
      </c>
      <c r="H16" s="268">
        <f t="shared" si="0"/>
        <v>14300</v>
      </c>
      <c r="I16" s="268">
        <f t="shared" si="0"/>
        <v>14478</v>
      </c>
      <c r="J16" s="268">
        <f t="shared" si="0"/>
        <v>13170</v>
      </c>
      <c r="K16" s="268">
        <f t="shared" si="0"/>
        <v>13824</v>
      </c>
      <c r="L16" s="268">
        <f t="shared" si="0"/>
        <v>2209</v>
      </c>
      <c r="M16" s="268">
        <f t="shared" si="0"/>
        <v>2153</v>
      </c>
      <c r="N16" s="268">
        <f t="shared" si="0"/>
        <v>4134</v>
      </c>
      <c r="O16" s="268">
        <f t="shared" si="0"/>
        <v>3882</v>
      </c>
      <c r="P16" s="268">
        <f>SUM(P8:P15)</f>
        <v>4050</v>
      </c>
      <c r="Q16" s="268">
        <f t="shared" si="0"/>
        <v>4500</v>
      </c>
    </row>
    <row r="17" spans="1:16" s="12" customFormat="1" x14ac:dyDescent="0.2">
      <c r="A17" s="757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</row>
    <row r="18" spans="1:16" s="12" customFormat="1" x14ac:dyDescent="0.2">
      <c r="A18" s="269"/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3"/>
      <c r="P18" s="553"/>
    </row>
    <row r="19" spans="1:16" s="12" customFormat="1" x14ac:dyDescent="0.2">
      <c r="A19" s="550"/>
      <c r="B19" s="270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</row>
    <row r="20" spans="1:16" s="12" customFormat="1" x14ac:dyDescent="0.2">
      <c r="A20" s="550"/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</row>
    <row r="21" spans="1:16" s="12" customFormat="1" x14ac:dyDescent="0.2">
      <c r="A21" s="550"/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</row>
    <row r="22" spans="1:16" s="12" customFormat="1" x14ac:dyDescent="0.2">
      <c r="A22" s="550"/>
      <c r="B22" s="553"/>
    </row>
    <row r="23" spans="1:16" s="12" customFormat="1" x14ac:dyDescent="0.2">
      <c r="A23" s="553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</row>
    <row r="24" spans="1:16" s="12" customFormat="1" x14ac:dyDescent="0.2">
      <c r="A24" s="553"/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</row>
    <row r="25" spans="1:16" s="12" customFormat="1" x14ac:dyDescent="0.2">
      <c r="A25" s="553"/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</row>
    <row r="26" spans="1:16" s="12" customFormat="1" ht="13.5" thickBot="1" x14ac:dyDescent="0.25">
      <c r="A26" s="271"/>
      <c r="B26" s="271"/>
      <c r="C26" s="271"/>
      <c r="D26" s="757"/>
      <c r="E26" s="757"/>
      <c r="F26" s="553"/>
      <c r="G26" s="553"/>
      <c r="H26" s="271"/>
      <c r="I26" s="757"/>
      <c r="J26" s="757"/>
      <c r="K26" s="757"/>
      <c r="L26" s="757"/>
      <c r="M26" s="757"/>
    </row>
    <row r="27" spans="1:16" s="57" customFormat="1" x14ac:dyDescent="0.2">
      <c r="A27" s="776" t="s">
        <v>236</v>
      </c>
      <c r="B27" s="1437" t="s">
        <v>434</v>
      </c>
      <c r="C27" s="1437"/>
      <c r="D27" s="549"/>
      <c r="E27" s="549"/>
      <c r="F27" s="776"/>
      <c r="G27" s="776"/>
      <c r="H27" s="776" t="s">
        <v>157</v>
      </c>
      <c r="I27" s="776"/>
      <c r="J27" s="776"/>
      <c r="K27" s="776"/>
      <c r="L27" s="776"/>
      <c r="M27" s="776"/>
    </row>
    <row r="28" spans="1:16" s="12" customFormat="1" x14ac:dyDescent="0.2"/>
    <row r="29" spans="1:16" s="12" customFormat="1" x14ac:dyDescent="0.2"/>
    <row r="30" spans="1:16" s="12" customFormat="1" x14ac:dyDescent="0.2"/>
    <row r="31" spans="1:16" s="12" customFormat="1" x14ac:dyDescent="0.2"/>
    <row r="32" spans="1:16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</sheetData>
  <mergeCells count="3">
    <mergeCell ref="B27:C27"/>
    <mergeCell ref="A3:N3"/>
    <mergeCell ref="A5:Q5"/>
  </mergeCells>
  <phoneticPr fontId="0" type="noConversion"/>
  <pageMargins left="0.15748031496062992" right="0.19685039370078741" top="0.98425196850393704" bottom="0.98425196850393704" header="0.51181102362204722" footer="0.51181102362204722"/>
  <pageSetup paperSize="9" orientation="landscape" verticalDpi="300" r:id="rId1"/>
  <headerFooter alignWithMargins="0">
    <oddFooter>עמוד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U29"/>
  <sheetViews>
    <sheetView showGridLines="0" rightToLeft="1" view="pageLayout" topLeftCell="E1" workbookViewId="0">
      <selection activeCell="B14" sqref="B14"/>
    </sheetView>
  </sheetViews>
  <sheetFormatPr defaultRowHeight="12.75" x14ac:dyDescent="0.2"/>
  <cols>
    <col min="1" max="1" width="9.140625" hidden="1" customWidth="1"/>
    <col min="2" max="2" width="6.85546875" hidden="1" customWidth="1"/>
    <col min="3" max="3" width="0.140625" hidden="1" customWidth="1"/>
    <col min="4" max="4" width="11.140625" customWidth="1"/>
    <col min="5" max="5" width="18.28515625" customWidth="1"/>
    <col min="6" max="6" width="7.42578125" hidden="1" customWidth="1"/>
    <col min="7" max="21" width="7.42578125" customWidth="1"/>
  </cols>
  <sheetData>
    <row r="2" spans="4:21" s="12" customFormat="1" ht="18.75" x14ac:dyDescent="0.3">
      <c r="L2" s="253" t="s">
        <v>217</v>
      </c>
    </row>
    <row r="3" spans="4:21" s="12" customFormat="1" ht="19.5" thickBot="1" x14ac:dyDescent="0.35">
      <c r="D3" s="1439" t="s">
        <v>498</v>
      </c>
      <c r="E3" s="1439"/>
      <c r="F3" s="1439"/>
      <c r="G3" s="1439"/>
      <c r="H3" s="1439"/>
      <c r="I3" s="1439"/>
      <c r="J3" s="1439"/>
      <c r="K3" s="1439"/>
      <c r="L3" s="1439"/>
      <c r="M3" s="1439"/>
      <c r="N3" s="777"/>
      <c r="O3" s="777"/>
      <c r="P3" s="777"/>
      <c r="Q3" s="777"/>
      <c r="R3" s="777"/>
      <c r="S3" s="777"/>
      <c r="T3" s="777"/>
    </row>
    <row r="4" spans="4:21" s="12" customFormat="1" ht="15.75" thickBot="1" x14ac:dyDescent="0.3">
      <c r="E4" s="1448" t="s">
        <v>437</v>
      </c>
      <c r="F4" s="1449"/>
      <c r="G4" s="1449"/>
      <c r="H4" s="1449"/>
      <c r="I4" s="1449"/>
      <c r="J4" s="1449"/>
      <c r="K4" s="1449"/>
      <c r="L4" s="1449"/>
      <c r="M4" s="1449"/>
      <c r="N4" s="1449"/>
      <c r="O4" s="1449"/>
      <c r="P4" s="1450"/>
      <c r="Q4" s="1448" t="s">
        <v>0</v>
      </c>
      <c r="R4" s="1449"/>
      <c r="S4" s="1449"/>
      <c r="T4" s="1449"/>
      <c r="U4" s="1450"/>
    </row>
    <row r="5" spans="4:21" s="81" customFormat="1" ht="34.5" x14ac:dyDescent="0.25">
      <c r="D5" s="272" t="s">
        <v>465</v>
      </c>
      <c r="E5" s="345" t="s">
        <v>499</v>
      </c>
      <c r="F5" s="345" t="s">
        <v>470</v>
      </c>
      <c r="G5" s="345" t="s">
        <v>500</v>
      </c>
      <c r="H5" s="345" t="s">
        <v>501</v>
      </c>
      <c r="I5" s="345" t="s">
        <v>480</v>
      </c>
      <c r="J5" s="345" t="s">
        <v>444</v>
      </c>
      <c r="K5" s="345" t="s">
        <v>502</v>
      </c>
      <c r="L5" s="345" t="s">
        <v>446</v>
      </c>
      <c r="M5" s="345" t="s">
        <v>503</v>
      </c>
      <c r="N5" s="345" t="s">
        <v>472</v>
      </c>
      <c r="O5" s="345" t="s">
        <v>473</v>
      </c>
      <c r="P5" s="345" t="s">
        <v>450</v>
      </c>
      <c r="Q5" s="203" t="s">
        <v>221</v>
      </c>
      <c r="R5" s="203" t="s">
        <v>222</v>
      </c>
      <c r="S5" s="203" t="s">
        <v>223</v>
      </c>
      <c r="T5" s="203" t="s">
        <v>476</v>
      </c>
      <c r="U5" s="340" t="s">
        <v>224</v>
      </c>
    </row>
    <row r="6" spans="4:21" s="12" customFormat="1" ht="20.100000000000001" customHeight="1" x14ac:dyDescent="0.2">
      <c r="D6" s="208"/>
      <c r="E6" s="208" t="s">
        <v>504</v>
      </c>
      <c r="F6" s="170">
        <v>1700</v>
      </c>
      <c r="G6" s="170">
        <v>529</v>
      </c>
      <c r="H6" s="170">
        <v>750</v>
      </c>
      <c r="I6" s="170">
        <v>1010</v>
      </c>
      <c r="J6" s="170">
        <v>600</v>
      </c>
      <c r="K6" s="170">
        <v>21</v>
      </c>
      <c r="L6" s="170">
        <v>655</v>
      </c>
      <c r="M6" s="170">
        <v>76</v>
      </c>
      <c r="N6" s="170">
        <v>600</v>
      </c>
      <c r="O6" s="170">
        <v>266</v>
      </c>
      <c r="P6" s="170">
        <v>800</v>
      </c>
      <c r="Q6" s="170">
        <v>300</v>
      </c>
      <c r="R6" s="170">
        <v>0</v>
      </c>
      <c r="S6" s="170">
        <v>250</v>
      </c>
      <c r="T6" s="170">
        <v>250</v>
      </c>
      <c r="U6" s="170"/>
    </row>
    <row r="7" spans="4:21" s="12" customFormat="1" ht="20.100000000000001" customHeight="1" x14ac:dyDescent="0.2">
      <c r="D7" s="208"/>
      <c r="E7" s="208" t="s">
        <v>505</v>
      </c>
      <c r="F7" s="170">
        <v>220</v>
      </c>
      <c r="G7" s="170">
        <v>254</v>
      </c>
      <c r="H7" s="170">
        <v>300</v>
      </c>
      <c r="I7" s="170">
        <v>192</v>
      </c>
      <c r="J7" s="170">
        <v>200</v>
      </c>
      <c r="K7" s="170">
        <v>80</v>
      </c>
      <c r="L7" s="170">
        <v>0</v>
      </c>
      <c r="M7" s="170">
        <v>0</v>
      </c>
      <c r="N7" s="170">
        <v>100</v>
      </c>
      <c r="O7" s="170">
        <v>50</v>
      </c>
      <c r="P7" s="170">
        <v>200</v>
      </c>
      <c r="Q7" s="170">
        <v>0</v>
      </c>
      <c r="R7" s="170">
        <v>0</v>
      </c>
      <c r="S7" s="170">
        <v>0</v>
      </c>
      <c r="T7" s="170">
        <v>228</v>
      </c>
      <c r="U7" s="170">
        <v>399</v>
      </c>
    </row>
    <row r="8" spans="4:21" s="12" customFormat="1" ht="20.100000000000001" customHeight="1" x14ac:dyDescent="0.2">
      <c r="D8" s="208"/>
      <c r="E8" s="208" t="s">
        <v>506</v>
      </c>
      <c r="F8" s="170">
        <v>0</v>
      </c>
      <c r="G8" s="170">
        <v>0</v>
      </c>
      <c r="H8" s="170">
        <f>I8-G8</f>
        <v>0</v>
      </c>
      <c r="I8" s="170">
        <v>0</v>
      </c>
      <c r="J8" s="170">
        <f>K8-I8</f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/>
      <c r="U8" s="170">
        <v>0</v>
      </c>
    </row>
    <row r="9" spans="4:21" s="12" customFormat="1" ht="20.100000000000001" customHeight="1" x14ac:dyDescent="0.2">
      <c r="D9" s="208"/>
      <c r="E9" s="208"/>
      <c r="F9" s="170"/>
      <c r="G9" s="208"/>
      <c r="H9" s="208"/>
      <c r="I9" s="208"/>
      <c r="J9" s="208"/>
      <c r="K9" s="208"/>
      <c r="L9" s="170"/>
      <c r="M9" s="208"/>
      <c r="N9" s="208"/>
      <c r="O9" s="208"/>
      <c r="P9" s="208"/>
      <c r="Q9" s="208"/>
      <c r="R9" s="208"/>
      <c r="S9" s="208"/>
      <c r="T9" s="208"/>
      <c r="U9" s="208"/>
    </row>
    <row r="10" spans="4:21" s="12" customFormat="1" ht="20.100000000000001" customHeight="1" x14ac:dyDescent="0.2">
      <c r="D10" s="208"/>
      <c r="E10" s="208"/>
      <c r="F10" s="170"/>
      <c r="G10" s="208"/>
      <c r="H10" s="208"/>
      <c r="I10" s="208"/>
      <c r="J10" s="208"/>
      <c r="K10" s="208"/>
      <c r="L10" s="170"/>
      <c r="M10" s="208"/>
      <c r="N10" s="208"/>
      <c r="O10" s="208"/>
      <c r="P10" s="208"/>
      <c r="Q10" s="208"/>
      <c r="R10" s="208"/>
      <c r="S10" s="208"/>
      <c r="T10" s="208"/>
      <c r="U10" s="208"/>
    </row>
    <row r="11" spans="4:21" s="12" customFormat="1" ht="20.100000000000001" customHeight="1" x14ac:dyDescent="0.2">
      <c r="D11" s="208"/>
      <c r="E11" s="208"/>
      <c r="F11" s="170"/>
      <c r="G11" s="208"/>
      <c r="H11" s="208"/>
      <c r="I11" s="208"/>
      <c r="J11" s="208"/>
      <c r="K11" s="208"/>
      <c r="L11" s="170"/>
      <c r="M11" s="208"/>
      <c r="N11" s="208"/>
      <c r="O11" s="208"/>
      <c r="P11" s="208"/>
      <c r="Q11" s="208"/>
      <c r="R11" s="208"/>
      <c r="S11" s="208"/>
      <c r="T11" s="208"/>
      <c r="U11" s="208"/>
    </row>
    <row r="12" spans="4:21" s="155" customFormat="1" ht="20.100000000000001" customHeight="1" x14ac:dyDescent="0.25">
      <c r="D12" s="273" t="s">
        <v>143</v>
      </c>
      <c r="E12" s="273"/>
      <c r="F12" s="215">
        <f t="shared" ref="F12:U12" si="0">SUM(F6:F11)</f>
        <v>1920</v>
      </c>
      <c r="G12" s="215">
        <f t="shared" si="0"/>
        <v>783</v>
      </c>
      <c r="H12" s="215">
        <f t="shared" si="0"/>
        <v>1050</v>
      </c>
      <c r="I12" s="215">
        <f t="shared" si="0"/>
        <v>1202</v>
      </c>
      <c r="J12" s="215">
        <f t="shared" si="0"/>
        <v>800</v>
      </c>
      <c r="K12" s="215">
        <f t="shared" si="0"/>
        <v>101</v>
      </c>
      <c r="L12" s="215">
        <f t="shared" si="0"/>
        <v>655</v>
      </c>
      <c r="M12" s="215">
        <f t="shared" si="0"/>
        <v>76</v>
      </c>
      <c r="N12" s="215">
        <f t="shared" si="0"/>
        <v>700</v>
      </c>
      <c r="O12" s="215">
        <f t="shared" si="0"/>
        <v>316</v>
      </c>
      <c r="P12" s="215">
        <f t="shared" si="0"/>
        <v>1000</v>
      </c>
      <c r="Q12" s="215">
        <f t="shared" si="0"/>
        <v>300</v>
      </c>
      <c r="R12" s="215">
        <f t="shared" si="0"/>
        <v>0</v>
      </c>
      <c r="S12" s="215">
        <f t="shared" si="0"/>
        <v>250</v>
      </c>
      <c r="T12" s="215">
        <f t="shared" si="0"/>
        <v>478</v>
      </c>
      <c r="U12" s="215">
        <f t="shared" si="0"/>
        <v>399</v>
      </c>
    </row>
    <row r="13" spans="4:21" s="12" customFormat="1" x14ac:dyDescent="0.2"/>
    <row r="14" spans="4:21" s="12" customFormat="1" x14ac:dyDescent="0.2"/>
    <row r="15" spans="4:21" s="12" customFormat="1" x14ac:dyDescent="0.2"/>
    <row r="16" spans="4:21" s="12" customFormat="1" x14ac:dyDescent="0.2"/>
    <row r="17" spans="5:11" s="12" customFormat="1" x14ac:dyDescent="0.2"/>
    <row r="18" spans="5:11" s="12" customFormat="1" x14ac:dyDescent="0.2"/>
    <row r="19" spans="5:11" s="12" customFormat="1" x14ac:dyDescent="0.2"/>
    <row r="20" spans="5:11" s="12" customFormat="1" x14ac:dyDescent="0.2"/>
    <row r="21" spans="5:11" s="12" customFormat="1" x14ac:dyDescent="0.2"/>
    <row r="22" spans="5:11" s="12" customFormat="1" x14ac:dyDescent="0.2"/>
    <row r="23" spans="5:11" s="12" customFormat="1" ht="13.5" thickBot="1" x14ac:dyDescent="0.25">
      <c r="E23" s="195"/>
      <c r="G23" s="195"/>
      <c r="H23" s="195"/>
      <c r="K23" s="195"/>
    </row>
    <row r="24" spans="5:11" s="155" customFormat="1" ht="15.75" x14ac:dyDescent="0.25">
      <c r="E24" s="274" t="s">
        <v>236</v>
      </c>
      <c r="G24" s="1454" t="s">
        <v>507</v>
      </c>
      <c r="H24" s="1454"/>
      <c r="K24" s="274" t="s">
        <v>157</v>
      </c>
    </row>
    <row r="25" spans="5:11" s="12" customFormat="1" x14ac:dyDescent="0.2"/>
    <row r="26" spans="5:11" s="12" customFormat="1" x14ac:dyDescent="0.2"/>
    <row r="27" spans="5:11" s="12" customFormat="1" x14ac:dyDescent="0.2"/>
    <row r="28" spans="5:11" s="12" customFormat="1" x14ac:dyDescent="0.2"/>
    <row r="29" spans="5:11" s="12" customFormat="1" x14ac:dyDescent="0.2"/>
  </sheetData>
  <mergeCells count="4">
    <mergeCell ref="D3:M3"/>
    <mergeCell ref="G24:H24"/>
    <mergeCell ref="Q4:U4"/>
    <mergeCell ref="E4:P4"/>
  </mergeCells>
  <phoneticPr fontId="0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>
    <oddFooter>עמוד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1:X53"/>
  <sheetViews>
    <sheetView showGridLines="0" rightToLeft="1" view="pageLayout" topLeftCell="H1" workbookViewId="0">
      <selection activeCell="B14" sqref="B14"/>
    </sheetView>
  </sheetViews>
  <sheetFormatPr defaultRowHeight="12.75" x14ac:dyDescent="0.2"/>
  <cols>
    <col min="1" max="1" width="32.28515625" customWidth="1"/>
    <col min="2" max="4" width="9.28515625" hidden="1" customWidth="1"/>
    <col min="5" max="7" width="8.42578125" hidden="1" customWidth="1"/>
    <col min="8" max="8" width="8.42578125" customWidth="1"/>
    <col min="9" max="9" width="8.42578125" hidden="1" customWidth="1"/>
    <col min="10" max="24" width="8.42578125" customWidth="1"/>
  </cols>
  <sheetData>
    <row r="1" spans="1:24" x14ac:dyDescent="0.2">
      <c r="A1" s="2"/>
    </row>
    <row r="2" spans="1:24" s="156" customFormat="1" ht="18.75" x14ac:dyDescent="0.3">
      <c r="A2" s="275"/>
      <c r="I2" s="198"/>
      <c r="R2" s="253" t="s">
        <v>217</v>
      </c>
    </row>
    <row r="3" spans="1:24" s="12" customFormat="1" ht="19.5" thickBot="1" x14ac:dyDescent="0.35">
      <c r="A3" s="1430" t="s">
        <v>508</v>
      </c>
      <c r="B3" s="1430"/>
      <c r="C3" s="1430"/>
      <c r="D3" s="1430"/>
      <c r="E3" s="1430"/>
      <c r="F3" s="1430"/>
      <c r="G3" s="1430"/>
      <c r="H3" s="1430"/>
      <c r="I3" s="1430"/>
      <c r="J3" s="1430"/>
      <c r="K3" s="1430"/>
      <c r="L3" s="1430"/>
      <c r="M3" s="1430"/>
      <c r="N3" s="1430"/>
      <c r="O3" s="1430"/>
      <c r="P3" s="1430"/>
      <c r="Q3" s="1430"/>
      <c r="R3" s="1430"/>
      <c r="S3" s="1430"/>
      <c r="T3" s="1430"/>
      <c r="U3" s="1430"/>
      <c r="V3" s="1430"/>
      <c r="W3" s="1430"/>
      <c r="X3" s="1430"/>
    </row>
    <row r="4" spans="1:24" s="12" customFormat="1" ht="15.75" thickBot="1" x14ac:dyDescent="0.3">
      <c r="A4" s="1455" t="s">
        <v>509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7"/>
      <c r="S4" s="1448" t="s">
        <v>0</v>
      </c>
      <c r="T4" s="1449"/>
      <c r="U4" s="1449"/>
      <c r="V4" s="1449"/>
      <c r="W4" s="1449"/>
      <c r="X4" s="1450"/>
    </row>
    <row r="5" spans="1:24" s="12" customFormat="1" ht="38.25" x14ac:dyDescent="0.2">
      <c r="A5" s="346" t="s">
        <v>465</v>
      </c>
      <c r="B5" s="347" t="s">
        <v>510</v>
      </c>
      <c r="C5" s="347" t="s">
        <v>470</v>
      </c>
      <c r="D5" s="347" t="s">
        <v>511</v>
      </c>
      <c r="E5" s="347" t="s">
        <v>512</v>
      </c>
      <c r="F5" s="347" t="s">
        <v>513</v>
      </c>
      <c r="G5" s="347" t="s">
        <v>514</v>
      </c>
      <c r="H5" s="347" t="s">
        <v>443</v>
      </c>
      <c r="I5" s="347" t="s">
        <v>515</v>
      </c>
      <c r="J5" s="347" t="s">
        <v>516</v>
      </c>
      <c r="K5" s="347" t="s">
        <v>517</v>
      </c>
      <c r="L5" s="347" t="s">
        <v>518</v>
      </c>
      <c r="M5" s="347" t="s">
        <v>519</v>
      </c>
      <c r="N5" s="347" t="s">
        <v>520</v>
      </c>
      <c r="O5" s="347" t="s">
        <v>449</v>
      </c>
      <c r="P5" s="347" t="s">
        <v>521</v>
      </c>
      <c r="Q5" s="347" t="s">
        <v>522</v>
      </c>
      <c r="R5" s="347" t="s">
        <v>523</v>
      </c>
      <c r="S5" s="203" t="s">
        <v>221</v>
      </c>
      <c r="T5" s="203" t="s">
        <v>222</v>
      </c>
      <c r="U5" s="203" t="s">
        <v>223</v>
      </c>
      <c r="V5" s="203" t="s">
        <v>476</v>
      </c>
      <c r="W5" s="340" t="s">
        <v>224</v>
      </c>
      <c r="X5" s="340" t="s">
        <v>224</v>
      </c>
    </row>
    <row r="6" spans="1:24" s="12" customFormat="1" x14ac:dyDescent="0.2">
      <c r="A6" s="277" t="s">
        <v>524</v>
      </c>
      <c r="B6" s="278"/>
      <c r="C6" s="278"/>
      <c r="D6" s="278"/>
      <c r="E6" s="278"/>
      <c r="F6" s="276"/>
      <c r="G6" s="276"/>
      <c r="H6" s="276"/>
      <c r="I6" s="276"/>
      <c r="J6" s="276"/>
      <c r="K6" s="276"/>
      <c r="L6" s="276"/>
      <c r="M6" s="279"/>
      <c r="N6" s="276"/>
      <c r="O6" s="276"/>
      <c r="P6" s="276"/>
      <c r="Q6" s="276"/>
      <c r="R6" s="276"/>
      <c r="S6" s="276"/>
      <c r="T6" s="276"/>
      <c r="U6" s="276"/>
      <c r="V6" s="276"/>
      <c r="W6" s="279"/>
      <c r="X6" s="279"/>
    </row>
    <row r="7" spans="1:24" s="12" customFormat="1" x14ac:dyDescent="0.2">
      <c r="A7" s="280" t="s">
        <v>524</v>
      </c>
      <c r="B7" s="281">
        <v>10897</v>
      </c>
      <c r="C7" s="281">
        <v>16700</v>
      </c>
      <c r="D7" s="281">
        <f>E7-C7</f>
        <v>-3259</v>
      </c>
      <c r="E7" s="281">
        <v>13441</v>
      </c>
      <c r="F7" s="281">
        <v>1559</v>
      </c>
      <c r="G7" s="281">
        <f>E7+F7</f>
        <v>15000</v>
      </c>
      <c r="H7" s="282">
        <v>11528</v>
      </c>
      <c r="I7" s="283">
        <f>J7-H7</f>
        <v>2972</v>
      </c>
      <c r="J7" s="283">
        <v>14500</v>
      </c>
      <c r="K7" s="283">
        <v>14850</v>
      </c>
      <c r="L7" s="283">
        <v>16800</v>
      </c>
      <c r="M7" s="282">
        <v>16843</v>
      </c>
      <c r="N7" s="283">
        <v>19000</v>
      </c>
      <c r="O7" s="283">
        <v>17943</v>
      </c>
      <c r="P7" s="283">
        <v>20000</v>
      </c>
      <c r="Q7" s="283">
        <v>10683</v>
      </c>
      <c r="R7" s="283">
        <v>21366</v>
      </c>
      <c r="S7" s="283">
        <v>8500</v>
      </c>
      <c r="T7" s="283">
        <v>7810</v>
      </c>
      <c r="U7" s="283">
        <v>11000</v>
      </c>
      <c r="V7" s="283">
        <v>9722</v>
      </c>
      <c r="W7" s="282">
        <v>12000</v>
      </c>
      <c r="X7" s="282">
        <v>13500</v>
      </c>
    </row>
    <row r="8" spans="1:24" s="12" customFormat="1" x14ac:dyDescent="0.2">
      <c r="A8" s="284" t="s">
        <v>525</v>
      </c>
      <c r="B8" s="283"/>
      <c r="C8" s="283"/>
      <c r="D8" s="283"/>
      <c r="E8" s="281"/>
      <c r="F8" s="283"/>
      <c r="G8" s="281"/>
      <c r="H8" s="283"/>
      <c r="I8" s="283"/>
      <c r="J8" s="283"/>
      <c r="K8" s="285"/>
      <c r="L8" s="285"/>
      <c r="M8" s="286"/>
      <c r="N8" s="285"/>
      <c r="O8" s="285"/>
      <c r="P8" s="285"/>
      <c r="Q8" s="285"/>
      <c r="R8" s="285"/>
      <c r="S8" s="285"/>
      <c r="T8" s="285"/>
      <c r="U8" s="285"/>
      <c r="V8" s="285"/>
      <c r="W8" s="286"/>
      <c r="X8" s="286"/>
    </row>
    <row r="9" spans="1:24" s="12" customFormat="1" x14ac:dyDescent="0.2">
      <c r="A9" s="284" t="s">
        <v>526</v>
      </c>
      <c r="B9" s="287"/>
      <c r="C9" s="285"/>
      <c r="D9" s="285"/>
      <c r="E9" s="288"/>
      <c r="F9" s="285"/>
      <c r="G9" s="288"/>
      <c r="H9" s="285"/>
      <c r="I9" s="285"/>
      <c r="J9" s="285"/>
      <c r="K9" s="285"/>
      <c r="L9" s="285"/>
      <c r="M9" s="286"/>
      <c r="N9" s="285"/>
      <c r="O9" s="285"/>
      <c r="P9" s="285"/>
      <c r="Q9" s="285"/>
      <c r="R9" s="285"/>
      <c r="S9" s="285"/>
      <c r="T9" s="285"/>
      <c r="U9" s="285"/>
      <c r="V9" s="285"/>
      <c r="W9" s="286"/>
      <c r="X9" s="286"/>
    </row>
    <row r="10" spans="1:24" s="12" customFormat="1" x14ac:dyDescent="0.2">
      <c r="A10" s="284" t="s">
        <v>527</v>
      </c>
      <c r="B10" s="287"/>
      <c r="C10" s="285"/>
      <c r="D10" s="285"/>
      <c r="E10" s="288"/>
      <c r="F10" s="285"/>
      <c r="G10" s="288"/>
      <c r="H10" s="287"/>
      <c r="I10" s="285"/>
      <c r="J10" s="285"/>
      <c r="K10" s="285"/>
      <c r="L10" s="285"/>
      <c r="M10" s="286"/>
      <c r="N10" s="285"/>
      <c r="O10" s="285"/>
      <c r="P10" s="285"/>
      <c r="Q10" s="285"/>
      <c r="R10" s="285"/>
      <c r="S10" s="285"/>
      <c r="T10" s="285"/>
      <c r="U10" s="285"/>
      <c r="V10" s="285"/>
      <c r="W10" s="286"/>
      <c r="X10" s="286"/>
    </row>
    <row r="11" spans="1:24" s="12" customFormat="1" x14ac:dyDescent="0.2">
      <c r="A11" s="284" t="s">
        <v>528</v>
      </c>
      <c r="B11" s="287"/>
      <c r="C11" s="285"/>
      <c r="D11" s="285"/>
      <c r="E11" s="288"/>
      <c r="F11" s="285"/>
      <c r="G11" s="288"/>
      <c r="H11" s="287"/>
      <c r="I11" s="285"/>
      <c r="J11" s="285"/>
      <c r="K11" s="285"/>
      <c r="L11" s="285"/>
      <c r="M11" s="286"/>
      <c r="N11" s="285"/>
      <c r="O11" s="285"/>
      <c r="P11" s="285"/>
      <c r="Q11" s="285"/>
      <c r="R11" s="285"/>
      <c r="S11" s="285"/>
      <c r="T11" s="285"/>
      <c r="U11" s="285"/>
      <c r="V11" s="285"/>
      <c r="W11" s="286"/>
      <c r="X11" s="286"/>
    </row>
    <row r="12" spans="1:24" s="12" customFormat="1" x14ac:dyDescent="0.2">
      <c r="A12" s="289" t="s">
        <v>143</v>
      </c>
      <c r="B12" s="285"/>
      <c r="C12" s="287"/>
      <c r="D12" s="285"/>
      <c r="E12" s="288"/>
      <c r="F12" s="285"/>
      <c r="G12" s="288"/>
      <c r="H12" s="287"/>
      <c r="I12" s="285"/>
      <c r="J12" s="285"/>
      <c r="K12" s="285"/>
      <c r="L12" s="285"/>
      <c r="M12" s="286"/>
      <c r="N12" s="285"/>
      <c r="O12" s="285"/>
      <c r="P12" s="285"/>
      <c r="Q12" s="285"/>
      <c r="R12" s="285"/>
      <c r="S12" s="285"/>
      <c r="T12" s="285"/>
      <c r="U12" s="285"/>
      <c r="V12" s="285"/>
      <c r="W12" s="286"/>
      <c r="X12" s="286"/>
    </row>
    <row r="13" spans="1:24" s="12" customFormat="1" x14ac:dyDescent="0.2">
      <c r="A13" s="289" t="s">
        <v>529</v>
      </c>
      <c r="B13" s="170"/>
      <c r="C13" s="290"/>
      <c r="D13" s="285"/>
      <c r="E13" s="288"/>
      <c r="F13" s="170"/>
      <c r="G13" s="288"/>
      <c r="H13" s="170"/>
      <c r="I13" s="170"/>
      <c r="J13" s="285"/>
      <c r="K13" s="170"/>
      <c r="L13" s="285"/>
      <c r="M13" s="170"/>
      <c r="N13" s="285"/>
      <c r="O13" s="285"/>
      <c r="P13" s="285"/>
      <c r="Q13" s="285"/>
      <c r="R13" s="285"/>
      <c r="S13" s="285"/>
      <c r="T13" s="285"/>
      <c r="U13" s="285"/>
      <c r="V13" s="285"/>
      <c r="W13" s="170"/>
      <c r="X13" s="170"/>
    </row>
    <row r="14" spans="1:24" s="12" customFormat="1" x14ac:dyDescent="0.2">
      <c r="A14" s="208" t="s">
        <v>525</v>
      </c>
      <c r="B14" s="291"/>
      <c r="C14" s="170"/>
      <c r="D14" s="170"/>
      <c r="E14" s="288"/>
      <c r="F14" s="170"/>
      <c r="G14" s="288"/>
      <c r="H14" s="291"/>
      <c r="I14" s="170"/>
      <c r="J14" s="285"/>
      <c r="K14" s="170"/>
      <c r="L14" s="285"/>
      <c r="M14" s="170"/>
      <c r="N14" s="285"/>
      <c r="O14" s="285"/>
      <c r="P14" s="285"/>
      <c r="Q14" s="285"/>
      <c r="R14" s="285"/>
      <c r="S14" s="285"/>
      <c r="T14" s="285"/>
      <c r="U14" s="285"/>
      <c r="V14" s="285"/>
      <c r="W14" s="170"/>
      <c r="X14" s="170"/>
    </row>
    <row r="15" spans="1:24" s="12" customFormat="1" x14ac:dyDescent="0.2">
      <c r="A15" s="208" t="s">
        <v>526</v>
      </c>
      <c r="B15" s="291"/>
      <c r="C15" s="170"/>
      <c r="D15" s="170"/>
      <c r="E15" s="288"/>
      <c r="F15" s="170"/>
      <c r="G15" s="288"/>
      <c r="H15" s="170"/>
      <c r="I15" s="170"/>
      <c r="J15" s="285"/>
      <c r="K15" s="170"/>
      <c r="L15" s="285"/>
      <c r="M15" s="170"/>
      <c r="N15" s="285"/>
      <c r="O15" s="285"/>
      <c r="P15" s="285"/>
      <c r="Q15" s="285"/>
      <c r="R15" s="285"/>
      <c r="S15" s="285"/>
      <c r="T15" s="285"/>
      <c r="U15" s="285"/>
      <c r="V15" s="285"/>
      <c r="W15" s="170"/>
      <c r="X15" s="170"/>
    </row>
    <row r="16" spans="1:24" s="12" customFormat="1" x14ac:dyDescent="0.2">
      <c r="A16" s="208" t="s">
        <v>528</v>
      </c>
      <c r="B16" s="291"/>
      <c r="C16" s="170"/>
      <c r="D16" s="170"/>
      <c r="E16" s="288"/>
      <c r="F16" s="170"/>
      <c r="G16" s="288"/>
      <c r="H16" s="170"/>
      <c r="I16" s="170"/>
      <c r="J16" s="285"/>
      <c r="K16" s="170"/>
      <c r="L16" s="285"/>
      <c r="M16" s="170"/>
      <c r="N16" s="285"/>
      <c r="O16" s="285"/>
      <c r="P16" s="285"/>
      <c r="Q16" s="285"/>
      <c r="R16" s="285"/>
      <c r="S16" s="285"/>
      <c r="T16" s="285"/>
      <c r="U16" s="285"/>
      <c r="V16" s="285"/>
      <c r="W16" s="170"/>
      <c r="X16" s="170"/>
    </row>
    <row r="17" spans="1:24" s="57" customFormat="1" x14ac:dyDescent="0.2">
      <c r="A17" s="292" t="s">
        <v>530</v>
      </c>
      <c r="B17" s="282">
        <f>SUM(B6:B16)</f>
        <v>10897</v>
      </c>
      <c r="C17" s="282">
        <f>SUM(C6:C16)</f>
        <v>16700</v>
      </c>
      <c r="D17" s="282">
        <f>SUM(D6:D16)</f>
        <v>-3259</v>
      </c>
      <c r="E17" s="281">
        <f>C17+D17</f>
        <v>13441</v>
      </c>
      <c r="F17" s="282">
        <f t="shared" ref="F17:X17" si="0">SUM(F7:F16)</f>
        <v>1559</v>
      </c>
      <c r="G17" s="282">
        <f t="shared" si="0"/>
        <v>15000</v>
      </c>
      <c r="H17" s="282">
        <f t="shared" si="0"/>
        <v>11528</v>
      </c>
      <c r="I17" s="282">
        <f t="shared" si="0"/>
        <v>2972</v>
      </c>
      <c r="J17" s="282">
        <f t="shared" si="0"/>
        <v>14500</v>
      </c>
      <c r="K17" s="282">
        <f t="shared" si="0"/>
        <v>14850</v>
      </c>
      <c r="L17" s="282">
        <f t="shared" si="0"/>
        <v>16800</v>
      </c>
      <c r="M17" s="282">
        <f t="shared" si="0"/>
        <v>16843</v>
      </c>
      <c r="N17" s="282">
        <f t="shared" si="0"/>
        <v>19000</v>
      </c>
      <c r="O17" s="282">
        <f t="shared" si="0"/>
        <v>17943</v>
      </c>
      <c r="P17" s="282">
        <f t="shared" si="0"/>
        <v>20000</v>
      </c>
      <c r="Q17" s="282">
        <f t="shared" si="0"/>
        <v>10683</v>
      </c>
      <c r="R17" s="282">
        <f t="shared" si="0"/>
        <v>21366</v>
      </c>
      <c r="S17" s="282">
        <f t="shared" si="0"/>
        <v>8500</v>
      </c>
      <c r="T17" s="282">
        <f t="shared" si="0"/>
        <v>7810</v>
      </c>
      <c r="U17" s="282">
        <f t="shared" si="0"/>
        <v>11000</v>
      </c>
      <c r="V17" s="282">
        <f t="shared" si="0"/>
        <v>9722</v>
      </c>
      <c r="W17" s="282">
        <f>SUM(W7:W16)</f>
        <v>12000</v>
      </c>
      <c r="X17" s="282">
        <f t="shared" si="0"/>
        <v>13500</v>
      </c>
    </row>
    <row r="18" spans="1:24" s="12" customFormat="1" x14ac:dyDescent="0.2">
      <c r="A18" s="234"/>
      <c r="B18" s="293"/>
      <c r="C18" s="293"/>
      <c r="D18" s="293"/>
      <c r="E18" s="293"/>
      <c r="F18" s="294"/>
      <c r="G18" s="295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</row>
    <row r="19" spans="1:24" s="57" customFormat="1" x14ac:dyDescent="0.2">
      <c r="A19" s="292" t="s">
        <v>531</v>
      </c>
      <c r="B19" s="282">
        <v>2146</v>
      </c>
      <c r="C19" s="282">
        <v>3970</v>
      </c>
      <c r="D19" s="281">
        <f>E19-C19</f>
        <v>-1398</v>
      </c>
      <c r="E19" s="282">
        <v>2572</v>
      </c>
      <c r="F19" s="282">
        <v>5139</v>
      </c>
      <c r="G19" s="281">
        <f>E19+F19</f>
        <v>7711</v>
      </c>
      <c r="H19" s="282">
        <v>3750</v>
      </c>
      <c r="I19" s="283">
        <f>J19-H19</f>
        <v>4176</v>
      </c>
      <c r="J19" s="283">
        <v>7926</v>
      </c>
      <c r="K19" s="283">
        <v>5295</v>
      </c>
      <c r="L19" s="283">
        <v>7817</v>
      </c>
      <c r="M19" s="282">
        <v>2554</v>
      </c>
      <c r="N19" s="283">
        <v>4905</v>
      </c>
      <c r="O19" s="283">
        <v>3451</v>
      </c>
      <c r="P19" s="283">
        <v>8200</v>
      </c>
      <c r="Q19" s="283">
        <v>1975</v>
      </c>
      <c r="R19" s="283">
        <v>3950</v>
      </c>
      <c r="S19" s="283">
        <v>1753</v>
      </c>
      <c r="T19" s="283">
        <v>1911</v>
      </c>
      <c r="U19" s="283">
        <v>2636</v>
      </c>
      <c r="V19" s="283">
        <v>2593</v>
      </c>
      <c r="W19" s="282">
        <v>2499</v>
      </c>
      <c r="X19" s="282">
        <v>3000</v>
      </c>
    </row>
    <row r="20" spans="1:24" s="12" customFormat="1" x14ac:dyDescent="0.2">
      <c r="A20" s="234"/>
      <c r="B20" s="293"/>
      <c r="C20" s="293"/>
      <c r="D20" s="293"/>
      <c r="E20" s="293"/>
      <c r="F20" s="294"/>
      <c r="G20" s="295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4"/>
      <c r="T20" s="294"/>
      <c r="U20" s="294"/>
      <c r="V20" s="294"/>
      <c r="W20" s="293"/>
      <c r="X20" s="293"/>
    </row>
    <row r="21" spans="1:24" s="57" customFormat="1" x14ac:dyDescent="0.2">
      <c r="A21" s="292" t="s">
        <v>138</v>
      </c>
      <c r="B21" s="282">
        <v>6065</v>
      </c>
      <c r="C21" s="282">
        <v>8200</v>
      </c>
      <c r="D21" s="281">
        <f>E21-C21</f>
        <v>-1534</v>
      </c>
      <c r="E21" s="282">
        <v>6666</v>
      </c>
      <c r="F21" s="282">
        <v>2034</v>
      </c>
      <c r="G21" s="281">
        <f>E21+F21</f>
        <v>8700</v>
      </c>
      <c r="H21" s="282">
        <v>6276</v>
      </c>
      <c r="I21" s="283">
        <f>J21-H21</f>
        <v>2724</v>
      </c>
      <c r="J21" s="283">
        <v>9000</v>
      </c>
      <c r="K21" s="283">
        <v>7279</v>
      </c>
      <c r="L21" s="283">
        <v>9000</v>
      </c>
      <c r="M21" s="282">
        <v>8039</v>
      </c>
      <c r="N21" s="283">
        <v>9000</v>
      </c>
      <c r="O21" s="283">
        <v>9060</v>
      </c>
      <c r="P21" s="283">
        <v>11000</v>
      </c>
      <c r="Q21" s="283">
        <v>5154</v>
      </c>
      <c r="R21" s="283">
        <v>10308</v>
      </c>
      <c r="S21" s="283">
        <v>4500</v>
      </c>
      <c r="T21" s="283">
        <v>4058</v>
      </c>
      <c r="U21" s="283">
        <v>5800</v>
      </c>
      <c r="V21" s="283">
        <v>4971</v>
      </c>
      <c r="W21" s="282">
        <v>6100</v>
      </c>
      <c r="X21" s="282">
        <v>7200</v>
      </c>
    </row>
    <row r="22" spans="1:24" s="12" customFormat="1" ht="13.5" thickBot="1" x14ac:dyDescent="0.25">
      <c r="A22" s="296"/>
      <c r="B22" s="182"/>
      <c r="C22" s="182"/>
      <c r="D22" s="182"/>
      <c r="E22" s="182"/>
      <c r="F22" s="297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spans="1:24" s="104" customFormat="1" ht="19.5" customHeight="1" thickBot="1" x14ac:dyDescent="0.3">
      <c r="A23" s="298" t="s">
        <v>532</v>
      </c>
      <c r="B23" s="299">
        <f>SUM(B17:B22)</f>
        <v>19108</v>
      </c>
      <c r="C23" s="299">
        <f>SUM(C17:C22)</f>
        <v>28870</v>
      </c>
      <c r="D23" s="299">
        <f>SUM(D17:D22)</f>
        <v>-6191</v>
      </c>
      <c r="E23" s="299">
        <f>SUM(E17:E22)</f>
        <v>22679</v>
      </c>
      <c r="F23" s="299">
        <f>G23-E23</f>
        <v>8732</v>
      </c>
      <c r="G23" s="299">
        <f t="shared" ref="G23:X23" si="1">SUM(G17:G22)</f>
        <v>31411</v>
      </c>
      <c r="H23" s="299">
        <f t="shared" si="1"/>
        <v>21554</v>
      </c>
      <c r="I23" s="299">
        <f t="shared" si="1"/>
        <v>9872</v>
      </c>
      <c r="J23" s="299">
        <f t="shared" si="1"/>
        <v>31426</v>
      </c>
      <c r="K23" s="299">
        <f t="shared" si="1"/>
        <v>27424</v>
      </c>
      <c r="L23" s="299">
        <f t="shared" si="1"/>
        <v>33617</v>
      </c>
      <c r="M23" s="299">
        <f t="shared" si="1"/>
        <v>27436</v>
      </c>
      <c r="N23" s="299">
        <f t="shared" si="1"/>
        <v>32905</v>
      </c>
      <c r="O23" s="299">
        <f t="shared" si="1"/>
        <v>30454</v>
      </c>
      <c r="P23" s="299">
        <f t="shared" si="1"/>
        <v>39200</v>
      </c>
      <c r="Q23" s="299">
        <f t="shared" si="1"/>
        <v>17812</v>
      </c>
      <c r="R23" s="299">
        <f t="shared" si="1"/>
        <v>35624</v>
      </c>
      <c r="S23" s="299">
        <f t="shared" si="1"/>
        <v>14753</v>
      </c>
      <c r="T23" s="299">
        <f t="shared" si="1"/>
        <v>13779</v>
      </c>
      <c r="U23" s="299">
        <f t="shared" si="1"/>
        <v>19436</v>
      </c>
      <c r="V23" s="299">
        <f t="shared" si="1"/>
        <v>17286</v>
      </c>
      <c r="W23" s="299">
        <f>SUM(W17:W22)</f>
        <v>20599</v>
      </c>
      <c r="X23" s="299">
        <f t="shared" si="1"/>
        <v>23700</v>
      </c>
    </row>
    <row r="24" spans="1:24" s="12" customFormat="1" ht="19.5" customHeight="1" x14ac:dyDescent="0.2">
      <c r="A24" s="241"/>
      <c r="B24" s="241"/>
      <c r="C24" s="241"/>
      <c r="D24" s="241"/>
      <c r="E24" s="241"/>
      <c r="F24" s="241"/>
      <c r="G24" s="241"/>
      <c r="H24" s="241"/>
      <c r="I24" s="241"/>
      <c r="J24" s="241"/>
    </row>
    <row r="25" spans="1:24" s="12" customFormat="1" ht="19.5" customHeight="1" x14ac:dyDescent="0.2">
      <c r="A25" s="241"/>
      <c r="B25" s="241"/>
      <c r="C25" s="241"/>
      <c r="D25" s="241"/>
      <c r="E25" s="241"/>
      <c r="F25" s="241"/>
      <c r="G25" s="241"/>
      <c r="H25" s="241"/>
      <c r="I25" s="241"/>
      <c r="J25" s="241"/>
    </row>
    <row r="26" spans="1:24" s="12" customFormat="1" ht="19.5" customHeight="1" x14ac:dyDescent="0.2">
      <c r="A26" s="241"/>
      <c r="B26" s="241"/>
      <c r="C26" s="241"/>
      <c r="D26" s="241"/>
      <c r="E26" s="241"/>
      <c r="F26" s="241"/>
      <c r="G26" s="241"/>
      <c r="H26" s="241"/>
      <c r="I26" s="241"/>
      <c r="J26" s="241"/>
    </row>
    <row r="27" spans="1:24" s="13" customFormat="1" ht="19.5" customHeight="1" x14ac:dyDescent="0.2">
      <c r="A27" s="241"/>
      <c r="B27" s="241"/>
      <c r="C27" s="241"/>
      <c r="D27" s="241"/>
      <c r="E27" s="241"/>
      <c r="F27" s="241"/>
      <c r="G27" s="241"/>
      <c r="H27" s="241"/>
      <c r="I27" s="241"/>
      <c r="J27" s="241"/>
    </row>
    <row r="28" spans="1:24" s="13" customFormat="1" x14ac:dyDescent="0.2"/>
    <row r="29" spans="1:24" s="13" customFormat="1" x14ac:dyDescent="0.2">
      <c r="A29" s="300"/>
    </row>
    <row r="30" spans="1:24" s="13" customFormat="1" x14ac:dyDescent="0.2">
      <c r="A30" s="757"/>
    </row>
    <row r="31" spans="1:24" s="13" customFormat="1" x14ac:dyDescent="0.2">
      <c r="A31" s="757"/>
    </row>
    <row r="32" spans="1:24" s="13" customFormat="1" x14ac:dyDescent="0.2">
      <c r="A32" s="757"/>
    </row>
    <row r="33" spans="1:9" s="13" customFormat="1" x14ac:dyDescent="0.2">
      <c r="A33" s="757"/>
    </row>
    <row r="34" spans="1:9" s="13" customFormat="1" x14ac:dyDescent="0.2">
      <c r="A34" s="757"/>
    </row>
    <row r="35" spans="1:9" s="13" customFormat="1" x14ac:dyDescent="0.2">
      <c r="A35" s="757"/>
    </row>
    <row r="36" spans="1:9" s="13" customFormat="1" x14ac:dyDescent="0.2">
      <c r="A36" s="757"/>
    </row>
    <row r="37" spans="1:9" s="13" customFormat="1" x14ac:dyDescent="0.2"/>
    <row r="38" spans="1:9" s="13" customFormat="1" x14ac:dyDescent="0.2"/>
    <row r="39" spans="1:9" s="12" customFormat="1" ht="13.5" thickBot="1" x14ac:dyDescent="0.25">
      <c r="A39" s="13"/>
      <c r="C39" s="195"/>
      <c r="E39" s="301"/>
      <c r="F39" s="301"/>
      <c r="I39" s="195"/>
    </row>
    <row r="40" spans="1:9" s="155" customFormat="1" ht="15.75" x14ac:dyDescent="0.25">
      <c r="A40" s="302"/>
      <c r="C40" s="274" t="s">
        <v>236</v>
      </c>
      <c r="D40" s="274"/>
      <c r="E40" s="1454" t="s">
        <v>507</v>
      </c>
      <c r="F40" s="1454"/>
      <c r="G40" s="274"/>
      <c r="H40" s="274"/>
      <c r="I40" s="274" t="s">
        <v>157</v>
      </c>
    </row>
    <row r="41" spans="1:9" s="12" customFormat="1" x14ac:dyDescent="0.2">
      <c r="C41" s="553"/>
      <c r="D41" s="553"/>
      <c r="E41" s="553"/>
      <c r="F41" s="553"/>
      <c r="G41" s="553"/>
      <c r="H41" s="553"/>
      <c r="I41" s="553"/>
    </row>
    <row r="42" spans="1:9" s="12" customFormat="1" x14ac:dyDescent="0.2"/>
    <row r="43" spans="1:9" s="12" customFormat="1" x14ac:dyDescent="0.2"/>
    <row r="44" spans="1:9" s="12" customFormat="1" x14ac:dyDescent="0.2"/>
    <row r="45" spans="1:9" s="12" customFormat="1" x14ac:dyDescent="0.2"/>
    <row r="46" spans="1:9" s="12" customFormat="1" x14ac:dyDescent="0.2"/>
    <row r="47" spans="1:9" s="12" customFormat="1" x14ac:dyDescent="0.2"/>
    <row r="48" spans="1:9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</sheetData>
  <mergeCells count="4">
    <mergeCell ref="E40:F40"/>
    <mergeCell ref="A3:X3"/>
    <mergeCell ref="S4:X4"/>
    <mergeCell ref="A4:R4"/>
  </mergeCells>
  <phoneticPr fontId="0" type="noConversion"/>
  <pageMargins left="0.55118110236220474" right="0.55118110236220474" top="0.98425196850393704" bottom="0.78740157480314965" header="0.51181102362204722" footer="0.51181102362204722"/>
  <pageSetup paperSize="9" scale="80" orientation="landscape" r:id="rId1"/>
  <headerFooter alignWithMargins="0">
    <oddFooter>עמוד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2:Q49"/>
  <sheetViews>
    <sheetView showGridLines="0" rightToLeft="1" view="pageLayout" zoomScaleNormal="75" workbookViewId="0">
      <selection activeCell="B14" sqref="B14"/>
    </sheetView>
  </sheetViews>
  <sheetFormatPr defaultRowHeight="12.75" x14ac:dyDescent="0.2"/>
  <cols>
    <col min="1" max="1" width="0.140625" customWidth="1"/>
    <col min="2" max="2" width="50.42578125" customWidth="1"/>
    <col min="3" max="4" width="13.42578125" hidden="1" customWidth="1"/>
    <col min="5" max="5" width="11.7109375" hidden="1" customWidth="1"/>
    <col min="6" max="17" width="11.7109375" customWidth="1"/>
  </cols>
  <sheetData>
    <row r="2" spans="1:17" s="156" customFormat="1" ht="18.75" x14ac:dyDescent="0.3">
      <c r="I2" s="198"/>
      <c r="J2" s="198"/>
      <c r="K2" s="253" t="s">
        <v>217</v>
      </c>
      <c r="L2" s="198"/>
      <c r="M2" s="198"/>
      <c r="N2" s="198"/>
      <c r="O2" s="198"/>
      <c r="P2" s="198"/>
      <c r="Q2" s="198"/>
    </row>
    <row r="3" spans="1:17" s="156" customFormat="1" ht="18.75" x14ac:dyDescent="0.3">
      <c r="F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56" customFormat="1" ht="18.75" x14ac:dyDescent="0.3">
      <c r="F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s="12" customFormat="1" ht="19.5" thickBot="1" x14ac:dyDescent="0.35">
      <c r="A5" s="1430" t="s">
        <v>218</v>
      </c>
      <c r="B5" s="1430"/>
      <c r="C5" s="1430"/>
      <c r="D5" s="1430"/>
      <c r="E5" s="1430"/>
      <c r="F5" s="1430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</row>
    <row r="6" spans="1:17" s="81" customFormat="1" ht="27" customHeight="1" thickBot="1" x14ac:dyDescent="0.35">
      <c r="B6" s="1424" t="s">
        <v>533</v>
      </c>
      <c r="C6" s="1425"/>
      <c r="D6" s="1425"/>
      <c r="E6" s="1425"/>
      <c r="F6" s="1425"/>
      <c r="G6" s="1425"/>
      <c r="H6" s="1425"/>
      <c r="I6" s="1425"/>
      <c r="J6" s="1425"/>
      <c r="K6" s="1425"/>
      <c r="L6" s="1426"/>
      <c r="M6" s="1424" t="s">
        <v>0</v>
      </c>
      <c r="N6" s="1425"/>
      <c r="O6" s="1425"/>
      <c r="P6" s="1425"/>
      <c r="Q6" s="1426"/>
    </row>
    <row r="7" spans="1:17" s="304" customFormat="1" ht="39" customHeight="1" thickBot="1" x14ac:dyDescent="0.35">
      <c r="B7" s="305" t="s">
        <v>174</v>
      </c>
      <c r="C7" s="306" t="s">
        <v>219</v>
      </c>
      <c r="D7" s="307" t="s">
        <v>220</v>
      </c>
      <c r="E7" s="306" t="s">
        <v>534</v>
      </c>
      <c r="F7" s="307" t="s">
        <v>535</v>
      </c>
      <c r="G7" s="307" t="s">
        <v>517</v>
      </c>
      <c r="H7" s="307" t="s">
        <v>536</v>
      </c>
      <c r="I7" s="307" t="s">
        <v>519</v>
      </c>
      <c r="J7" s="307" t="s">
        <v>537</v>
      </c>
      <c r="K7" s="307" t="s">
        <v>449</v>
      </c>
      <c r="L7" s="307" t="s">
        <v>538</v>
      </c>
      <c r="M7" s="348" t="s">
        <v>221</v>
      </c>
      <c r="N7" s="348" t="s">
        <v>222</v>
      </c>
      <c r="O7" s="348" t="s">
        <v>223</v>
      </c>
      <c r="P7" s="348" t="s">
        <v>476</v>
      </c>
      <c r="Q7" s="349" t="s">
        <v>224</v>
      </c>
    </row>
    <row r="8" spans="1:17" s="12" customFormat="1" ht="20.100000000000001" customHeight="1" x14ac:dyDescent="0.2">
      <c r="B8" s="308"/>
      <c r="C8" s="309"/>
      <c r="D8" s="310"/>
      <c r="E8" s="309"/>
      <c r="F8" s="310"/>
      <c r="G8" s="310"/>
      <c r="H8" s="309"/>
      <c r="I8" s="310"/>
      <c r="J8" s="310"/>
      <c r="K8" s="310"/>
      <c r="L8" s="310"/>
      <c r="M8" s="310"/>
      <c r="N8" s="310"/>
      <c r="O8" s="310"/>
      <c r="P8" s="310"/>
      <c r="Q8" s="310"/>
    </row>
    <row r="9" spans="1:17" s="156" customFormat="1" ht="20.100000000000001" customHeight="1" thickBot="1" x14ac:dyDescent="0.35">
      <c r="B9" s="311" t="s">
        <v>41</v>
      </c>
      <c r="C9" s="312"/>
      <c r="D9" s="313"/>
      <c r="E9" s="312"/>
      <c r="F9" s="313"/>
      <c r="G9" s="313"/>
      <c r="H9" s="312"/>
      <c r="I9" s="313"/>
      <c r="J9" s="313"/>
      <c r="K9" s="313"/>
      <c r="L9" s="313"/>
      <c r="M9" s="313"/>
      <c r="N9" s="313"/>
      <c r="O9" s="313"/>
      <c r="P9" s="313"/>
      <c r="Q9" s="313"/>
    </row>
    <row r="10" spans="1:17" s="17" customFormat="1" ht="20.100000000000001" customHeight="1" x14ac:dyDescent="0.25">
      <c r="B10" s="314" t="s">
        <v>229</v>
      </c>
      <c r="C10" s="315">
        <v>333</v>
      </c>
      <c r="D10" s="316">
        <v>530</v>
      </c>
      <c r="E10" s="315">
        <v>448</v>
      </c>
      <c r="F10" s="316">
        <v>490</v>
      </c>
      <c r="G10" s="316">
        <v>530</v>
      </c>
      <c r="H10" s="315">
        <v>1071</v>
      </c>
      <c r="I10" s="316">
        <v>769</v>
      </c>
      <c r="J10" s="316">
        <v>1161</v>
      </c>
      <c r="K10" s="316">
        <v>1242</v>
      </c>
      <c r="L10" s="316">
        <v>1161</v>
      </c>
      <c r="M10" s="316">
        <v>654</v>
      </c>
      <c r="N10" s="317">
        <v>680</v>
      </c>
      <c r="O10" s="317">
        <v>859</v>
      </c>
      <c r="P10" s="317">
        <v>545</v>
      </c>
      <c r="Q10" s="317">
        <v>560</v>
      </c>
    </row>
    <row r="11" spans="1:17" s="17" customFormat="1" ht="20.100000000000001" customHeight="1" thickBot="1" x14ac:dyDescent="0.3">
      <c r="B11" s="318"/>
      <c r="C11" s="319"/>
      <c r="D11" s="320"/>
      <c r="E11" s="319"/>
      <c r="F11" s="320"/>
      <c r="G11" s="320"/>
      <c r="H11" s="319"/>
      <c r="I11" s="320"/>
      <c r="J11" s="320"/>
      <c r="K11" s="320"/>
      <c r="L11" s="320"/>
      <c r="M11" s="320"/>
      <c r="N11" s="320"/>
      <c r="O11" s="320"/>
      <c r="P11" s="320"/>
      <c r="Q11" s="320"/>
    </row>
    <row r="12" spans="1:17" s="17" customFormat="1" ht="20.100000000000001" customHeight="1" x14ac:dyDescent="0.25">
      <c r="B12" s="318" t="s">
        <v>230</v>
      </c>
      <c r="C12" s="321">
        <v>6970</v>
      </c>
      <c r="D12" s="317">
        <v>4759</v>
      </c>
      <c r="E12" s="321">
        <v>7143</v>
      </c>
      <c r="F12" s="317">
        <v>7500</v>
      </c>
      <c r="G12" s="317">
        <v>7618</v>
      </c>
      <c r="H12" s="321">
        <v>7500</v>
      </c>
      <c r="I12" s="317">
        <v>8205</v>
      </c>
      <c r="J12" s="317">
        <v>8300</v>
      </c>
      <c r="K12" s="317">
        <v>8612</v>
      </c>
      <c r="L12" s="317">
        <v>7170</v>
      </c>
      <c r="M12" s="317">
        <v>1048</v>
      </c>
      <c r="N12" s="317">
        <v>514</v>
      </c>
      <c r="O12" s="317">
        <v>2057</v>
      </c>
      <c r="P12" s="317">
        <v>2351</v>
      </c>
      <c r="Q12" s="317">
        <v>2350</v>
      </c>
    </row>
    <row r="13" spans="1:17" s="81" customFormat="1" ht="20.100000000000001" customHeight="1" x14ac:dyDescent="0.25">
      <c r="B13" s="322"/>
      <c r="C13" s="323"/>
      <c r="D13" s="324"/>
      <c r="E13" s="323"/>
      <c r="F13" s="324"/>
      <c r="G13" s="324"/>
      <c r="H13" s="323"/>
      <c r="I13" s="324"/>
      <c r="J13" s="324"/>
      <c r="K13" s="324"/>
      <c r="L13" s="324"/>
      <c r="M13" s="324"/>
      <c r="N13" s="324"/>
      <c r="O13" s="324"/>
      <c r="P13" s="324"/>
      <c r="Q13" s="324"/>
    </row>
    <row r="14" spans="1:17" s="198" customFormat="1" ht="20.100000000000001" customHeight="1" thickBot="1" x14ac:dyDescent="0.35">
      <c r="B14" s="325" t="s">
        <v>231</v>
      </c>
      <c r="C14" s="326">
        <f t="shared" ref="C14:Q14" si="0">SUM(C10:C13)</f>
        <v>7303</v>
      </c>
      <c r="D14" s="326">
        <f t="shared" si="0"/>
        <v>5289</v>
      </c>
      <c r="E14" s="326">
        <f t="shared" si="0"/>
        <v>7591</v>
      </c>
      <c r="F14" s="326">
        <f t="shared" si="0"/>
        <v>7990</v>
      </c>
      <c r="G14" s="326">
        <f t="shared" si="0"/>
        <v>8148</v>
      </c>
      <c r="H14" s="326">
        <f t="shared" si="0"/>
        <v>8571</v>
      </c>
      <c r="I14" s="326">
        <f t="shared" si="0"/>
        <v>8974</v>
      </c>
      <c r="J14" s="326">
        <f t="shared" si="0"/>
        <v>9461</v>
      </c>
      <c r="K14" s="326">
        <f t="shared" si="0"/>
        <v>9854</v>
      </c>
      <c r="L14" s="326">
        <f t="shared" si="0"/>
        <v>8331</v>
      </c>
      <c r="M14" s="326">
        <f t="shared" si="0"/>
        <v>1702</v>
      </c>
      <c r="N14" s="326">
        <f t="shared" si="0"/>
        <v>1194</v>
      </c>
      <c r="O14" s="326">
        <f t="shared" si="0"/>
        <v>2916</v>
      </c>
      <c r="P14" s="326">
        <f t="shared" si="0"/>
        <v>2896</v>
      </c>
      <c r="Q14" s="326">
        <f t="shared" si="0"/>
        <v>2910</v>
      </c>
    </row>
    <row r="15" spans="1:17" s="12" customFormat="1" ht="20.100000000000001" customHeight="1" x14ac:dyDescent="0.2">
      <c r="B15" s="308"/>
      <c r="C15" s="309"/>
      <c r="D15" s="310"/>
      <c r="E15" s="309"/>
      <c r="F15" s="310"/>
      <c r="G15" s="310"/>
      <c r="H15" s="309"/>
      <c r="I15" s="310"/>
      <c r="J15" s="310"/>
      <c r="K15" s="310"/>
      <c r="L15" s="310"/>
      <c r="M15" s="310"/>
      <c r="N15" s="327"/>
      <c r="O15" s="328"/>
      <c r="P15" s="328"/>
      <c r="Q15" s="328"/>
    </row>
    <row r="16" spans="1:17" s="12" customFormat="1" ht="20.100000000000001" customHeight="1" x14ac:dyDescent="0.2">
      <c r="B16" s="308"/>
      <c r="C16" s="309"/>
      <c r="D16" s="310"/>
      <c r="E16" s="309"/>
      <c r="F16" s="310"/>
      <c r="G16" s="310"/>
      <c r="H16" s="309"/>
      <c r="I16" s="310"/>
      <c r="J16" s="310"/>
      <c r="K16" s="310"/>
      <c r="L16" s="310"/>
      <c r="M16" s="310"/>
      <c r="N16" s="309"/>
      <c r="O16" s="310"/>
      <c r="P16" s="310"/>
      <c r="Q16" s="310"/>
    </row>
    <row r="17" spans="2:17" s="156" customFormat="1" ht="20.100000000000001" customHeight="1" thickBot="1" x14ac:dyDescent="0.35">
      <c r="B17" s="311" t="s">
        <v>20</v>
      </c>
      <c r="C17" s="312"/>
      <c r="D17" s="313"/>
      <c r="E17" s="312"/>
      <c r="F17" s="313"/>
      <c r="G17" s="313"/>
      <c r="H17" s="312"/>
      <c r="I17" s="313"/>
      <c r="J17" s="313"/>
      <c r="K17" s="313"/>
      <c r="L17" s="313"/>
      <c r="M17" s="313"/>
      <c r="N17" s="329"/>
      <c r="O17" s="330"/>
      <c r="P17" s="330"/>
      <c r="Q17" s="330"/>
    </row>
    <row r="18" spans="2:17" s="17" customFormat="1" ht="20.100000000000001" customHeight="1" x14ac:dyDescent="0.25">
      <c r="B18" s="314" t="s">
        <v>232</v>
      </c>
      <c r="C18" s="321">
        <v>614</v>
      </c>
      <c r="D18" s="331">
        <v>1820</v>
      </c>
      <c r="E18" s="321">
        <v>643</v>
      </c>
      <c r="F18" s="331">
        <v>1000</v>
      </c>
      <c r="G18" s="331">
        <v>1820</v>
      </c>
      <c r="H18" s="321">
        <v>500</v>
      </c>
      <c r="I18" s="331">
        <v>105</v>
      </c>
      <c r="J18" s="331">
        <v>600</v>
      </c>
      <c r="K18" s="316">
        <f>558+7+154</f>
        <v>719</v>
      </c>
      <c r="L18" s="316">
        <v>749</v>
      </c>
      <c r="M18" s="316">
        <v>200</v>
      </c>
      <c r="N18" s="332">
        <v>116</v>
      </c>
      <c r="O18" s="332">
        <v>150</v>
      </c>
      <c r="P18" s="332">
        <v>101</v>
      </c>
      <c r="Q18" s="332">
        <v>250</v>
      </c>
    </row>
    <row r="19" spans="2:17" s="17" customFormat="1" ht="20.100000000000001" customHeight="1" x14ac:dyDescent="0.25">
      <c r="B19" s="318"/>
      <c r="C19" s="333"/>
      <c r="D19" s="317"/>
      <c r="E19" s="333"/>
      <c r="F19" s="317"/>
      <c r="G19" s="317"/>
      <c r="H19" s="333"/>
      <c r="I19" s="317"/>
      <c r="J19" s="317"/>
      <c r="K19" s="317"/>
      <c r="L19" s="317"/>
      <c r="M19" s="317"/>
      <c r="N19" s="317"/>
      <c r="O19" s="317"/>
      <c r="P19" s="317"/>
      <c r="Q19" s="317"/>
    </row>
    <row r="20" spans="2:17" s="17" customFormat="1" ht="20.100000000000001" customHeight="1" x14ac:dyDescent="0.25">
      <c r="B20" s="318" t="s">
        <v>233</v>
      </c>
      <c r="C20" s="333"/>
      <c r="D20" s="317"/>
      <c r="E20" s="333"/>
      <c r="F20" s="317"/>
      <c r="G20" s="317"/>
      <c r="H20" s="333"/>
      <c r="I20" s="317"/>
      <c r="J20" s="317"/>
      <c r="K20" s="317"/>
      <c r="L20" s="317"/>
      <c r="M20" s="317"/>
      <c r="N20" s="317"/>
      <c r="O20" s="317"/>
      <c r="P20" s="317"/>
      <c r="Q20" s="317"/>
    </row>
    <row r="21" spans="2:17" s="81" customFormat="1" ht="20.100000000000001" customHeight="1" x14ac:dyDescent="0.25">
      <c r="B21" s="322"/>
      <c r="C21" s="334"/>
      <c r="D21" s="335"/>
      <c r="E21" s="334"/>
      <c r="F21" s="335"/>
      <c r="G21" s="335"/>
      <c r="H21" s="334"/>
      <c r="I21" s="335"/>
      <c r="J21" s="335"/>
      <c r="K21" s="335"/>
      <c r="L21" s="335"/>
      <c r="M21" s="335"/>
      <c r="N21" s="335"/>
      <c r="O21" s="335"/>
      <c r="P21" s="335"/>
      <c r="Q21" s="335"/>
    </row>
    <row r="22" spans="2:17" s="198" customFormat="1" ht="20.100000000000001" customHeight="1" thickBot="1" x14ac:dyDescent="0.35">
      <c r="B22" s="325" t="s">
        <v>234</v>
      </c>
      <c r="C22" s="326">
        <f t="shared" ref="C22:Q22" si="1">SUM(C18:C21)</f>
        <v>614</v>
      </c>
      <c r="D22" s="336">
        <f t="shared" si="1"/>
        <v>1820</v>
      </c>
      <c r="E22" s="336">
        <f t="shared" si="1"/>
        <v>643</v>
      </c>
      <c r="F22" s="336">
        <f t="shared" si="1"/>
        <v>1000</v>
      </c>
      <c r="G22" s="336">
        <f t="shared" si="1"/>
        <v>1820</v>
      </c>
      <c r="H22" s="336">
        <f t="shared" si="1"/>
        <v>500</v>
      </c>
      <c r="I22" s="336">
        <f t="shared" si="1"/>
        <v>105</v>
      </c>
      <c r="J22" s="336">
        <f t="shared" si="1"/>
        <v>600</v>
      </c>
      <c r="K22" s="336">
        <f t="shared" si="1"/>
        <v>719</v>
      </c>
      <c r="L22" s="336">
        <f t="shared" si="1"/>
        <v>749</v>
      </c>
      <c r="M22" s="336">
        <f t="shared" si="1"/>
        <v>200</v>
      </c>
      <c r="N22" s="336">
        <f t="shared" si="1"/>
        <v>116</v>
      </c>
      <c r="O22" s="336">
        <f t="shared" si="1"/>
        <v>150</v>
      </c>
      <c r="P22" s="336">
        <f t="shared" si="1"/>
        <v>101</v>
      </c>
      <c r="Q22" s="336">
        <f t="shared" si="1"/>
        <v>250</v>
      </c>
    </row>
    <row r="23" spans="2:17" s="12" customFormat="1" ht="20.100000000000001" customHeight="1" thickBot="1" x14ac:dyDescent="0.25">
      <c r="B23" s="308"/>
      <c r="C23" s="309"/>
      <c r="D23" s="310"/>
      <c r="E23" s="309"/>
      <c r="F23" s="310"/>
      <c r="G23" s="310"/>
      <c r="H23" s="309"/>
      <c r="I23" s="310"/>
      <c r="J23" s="310"/>
      <c r="K23" s="310"/>
      <c r="L23" s="310"/>
      <c r="M23" s="310"/>
      <c r="N23" s="310"/>
      <c r="O23" s="310"/>
      <c r="P23" s="310"/>
      <c r="Q23" s="310"/>
    </row>
    <row r="24" spans="2:17" s="339" customFormat="1" ht="20.100000000000001" customHeight="1" thickBot="1" x14ac:dyDescent="0.35">
      <c r="B24" s="337" t="s">
        <v>235</v>
      </c>
      <c r="C24" s="338">
        <f t="shared" ref="C24:Q24" si="2">C22-C14</f>
        <v>-6689</v>
      </c>
      <c r="D24" s="338">
        <f t="shared" si="2"/>
        <v>-3469</v>
      </c>
      <c r="E24" s="338">
        <f t="shared" si="2"/>
        <v>-6948</v>
      </c>
      <c r="F24" s="338">
        <f t="shared" si="2"/>
        <v>-6990</v>
      </c>
      <c r="G24" s="338">
        <f t="shared" si="2"/>
        <v>-6328</v>
      </c>
      <c r="H24" s="338">
        <f t="shared" si="2"/>
        <v>-8071</v>
      </c>
      <c r="I24" s="338">
        <f t="shared" si="2"/>
        <v>-8869</v>
      </c>
      <c r="J24" s="338">
        <f t="shared" si="2"/>
        <v>-8861</v>
      </c>
      <c r="K24" s="338">
        <f t="shared" si="2"/>
        <v>-9135</v>
      </c>
      <c r="L24" s="338">
        <f t="shared" si="2"/>
        <v>-7582</v>
      </c>
      <c r="M24" s="338">
        <f t="shared" si="2"/>
        <v>-1502</v>
      </c>
      <c r="N24" s="338">
        <f t="shared" si="2"/>
        <v>-1078</v>
      </c>
      <c r="O24" s="338">
        <f t="shared" si="2"/>
        <v>-2766</v>
      </c>
      <c r="P24" s="338">
        <f t="shared" si="2"/>
        <v>-2795</v>
      </c>
      <c r="Q24" s="338">
        <f t="shared" si="2"/>
        <v>-2660</v>
      </c>
    </row>
    <row r="25" spans="2:17" s="12" customFormat="1" x14ac:dyDescent="0.2"/>
    <row r="26" spans="2:17" s="12" customFormat="1" x14ac:dyDescent="0.2"/>
    <row r="27" spans="2:17" s="12" customFormat="1" x14ac:dyDescent="0.2"/>
    <row r="28" spans="2:17" s="12" customFormat="1" x14ac:dyDescent="0.2"/>
    <row r="29" spans="2:17" s="12" customFormat="1" x14ac:dyDescent="0.2"/>
    <row r="30" spans="2:17" s="12" customFormat="1" ht="13.5" thickBot="1" x14ac:dyDescent="0.25">
      <c r="B30" s="195"/>
      <c r="D30" s="13"/>
      <c r="E30" s="195"/>
      <c r="G30" s="13"/>
      <c r="H30" s="195"/>
    </row>
    <row r="31" spans="2:17" s="155" customFormat="1" ht="15.75" x14ac:dyDescent="0.25">
      <c r="B31" s="274" t="s">
        <v>236</v>
      </c>
      <c r="C31" s="274"/>
      <c r="D31" s="274"/>
      <c r="E31" s="274" t="s">
        <v>157</v>
      </c>
      <c r="G31" s="274"/>
      <c r="H31" s="274" t="s">
        <v>157</v>
      </c>
    </row>
    <row r="32" spans="2:17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</sheetData>
  <mergeCells count="3">
    <mergeCell ref="A5:F5"/>
    <mergeCell ref="M6:Q6"/>
    <mergeCell ref="B6:L6"/>
  </mergeCells>
  <phoneticPr fontId="0" type="noConversion"/>
  <pageMargins left="0.15748031496062992" right="0.35433070866141736" top="0.98425196850393704" bottom="0.98425196850393704" header="0.51181102362204722" footer="0.51181102362204722"/>
  <pageSetup paperSize="9" scale="75" orientation="landscape" r:id="rId1"/>
  <headerFooter alignWithMargins="0">
    <oddFooter>עמוד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rightToLeft="1" view="pageLayout" topLeftCell="A16" zoomScaleSheetLayoutView="100" workbookViewId="0">
      <selection activeCell="F16" sqref="F16"/>
    </sheetView>
  </sheetViews>
  <sheetFormatPr defaultRowHeight="14.25" x14ac:dyDescent="0.2"/>
  <cols>
    <col min="1" max="1" width="22.140625" style="793" customWidth="1"/>
    <col min="2" max="2" width="16" style="793" customWidth="1"/>
    <col min="3" max="3" width="13.7109375" style="793" customWidth="1"/>
    <col min="4" max="4" width="12.7109375" style="793" customWidth="1"/>
    <col min="5" max="6" width="10.42578125" style="793" bestFit="1" customWidth="1"/>
    <col min="7" max="8" width="9.140625" style="793"/>
  </cols>
  <sheetData>
    <row r="2" spans="1:6" ht="15" x14ac:dyDescent="0.25">
      <c r="A2" s="792" t="s">
        <v>1716</v>
      </c>
    </row>
    <row r="3" spans="1:6" ht="15" x14ac:dyDescent="0.25">
      <c r="D3" s="792">
        <v>2016</v>
      </c>
      <c r="E3" s="792">
        <v>2017</v>
      </c>
      <c r="F3" s="792">
        <v>2018</v>
      </c>
    </row>
    <row r="4" spans="1:6" ht="15" x14ac:dyDescent="0.25">
      <c r="A4" s="793" t="s">
        <v>1717</v>
      </c>
      <c r="D4" s="792"/>
      <c r="E4" s="792"/>
      <c r="F4" s="792"/>
    </row>
    <row r="5" spans="1:6" x14ac:dyDescent="0.2">
      <c r="B5" s="793" t="s">
        <v>1719</v>
      </c>
      <c r="D5" s="793">
        <v>9600</v>
      </c>
    </row>
    <row r="6" spans="1:6" x14ac:dyDescent="0.2">
      <c r="B6" s="793" t="s">
        <v>1718</v>
      </c>
      <c r="D6" s="793">
        <v>3000</v>
      </c>
    </row>
    <row r="7" spans="1:6" x14ac:dyDescent="0.2">
      <c r="B7" s="793" t="s">
        <v>1720</v>
      </c>
      <c r="D7" s="793">
        <v>1000</v>
      </c>
    </row>
    <row r="8" spans="1:6" ht="15" x14ac:dyDescent="0.25">
      <c r="D8" s="794">
        <f>SUM(D5:D7)</f>
        <v>13600</v>
      </c>
    </row>
    <row r="9" spans="1:6" x14ac:dyDescent="0.2">
      <c r="A9" s="793" t="s">
        <v>1721</v>
      </c>
    </row>
    <row r="10" spans="1:6" x14ac:dyDescent="0.2">
      <c r="A10" s="793" t="s">
        <v>1769</v>
      </c>
      <c r="E10" s="793">
        <v>16900</v>
      </c>
      <c r="F10" s="793">
        <f>E13</f>
        <v>16300</v>
      </c>
    </row>
    <row r="11" spans="1:6" x14ac:dyDescent="0.2">
      <c r="A11" s="793" t="s">
        <v>1723</v>
      </c>
      <c r="E11" s="793">
        <v>-300</v>
      </c>
      <c r="F11" s="793">
        <v>0</v>
      </c>
    </row>
    <row r="12" spans="1:6" x14ac:dyDescent="0.2">
      <c r="A12" s="793" t="s">
        <v>1724</v>
      </c>
      <c r="E12" s="793">
        <v>-300</v>
      </c>
      <c r="F12" s="793">
        <v>-300</v>
      </c>
    </row>
    <row r="13" spans="1:6" ht="15" x14ac:dyDescent="0.25">
      <c r="A13" s="793" t="s">
        <v>1722</v>
      </c>
      <c r="E13" s="794">
        <f>SUM(E10:E12)</f>
        <v>16300</v>
      </c>
      <c r="F13" s="793">
        <f>F10+F11+F12</f>
        <v>16000</v>
      </c>
    </row>
    <row r="14" spans="1:6" ht="15" x14ac:dyDescent="0.25">
      <c r="A14" s="793" t="s">
        <v>1771</v>
      </c>
      <c r="E14" s="794">
        <v>400</v>
      </c>
    </row>
    <row r="15" spans="1:6" ht="15" x14ac:dyDescent="0.25">
      <c r="A15" s="793" t="s">
        <v>1770</v>
      </c>
      <c r="E15" s="794">
        <v>0</v>
      </c>
      <c r="F15" s="793">
        <f>F13*1.007-F13+147*34*1.007*0.1</f>
        <v>615.29859999999826</v>
      </c>
    </row>
    <row r="16" spans="1:6" x14ac:dyDescent="0.2">
      <c r="A16" s="793" t="s">
        <v>1725</v>
      </c>
      <c r="E16" s="793">
        <v>0.8</v>
      </c>
      <c r="F16" s="793">
        <v>0.85</v>
      </c>
    </row>
    <row r="17" spans="1:6" x14ac:dyDescent="0.2">
      <c r="A17" s="793" t="s">
        <v>1726</v>
      </c>
      <c r="E17" s="793">
        <f>(E13+E14)*E16</f>
        <v>13360</v>
      </c>
      <c r="F17" s="795">
        <f>(F13+F15)*F16</f>
        <v>14123.003809999998</v>
      </c>
    </row>
    <row r="18" spans="1:6" x14ac:dyDescent="0.2">
      <c r="A18" s="793" t="s">
        <v>1727</v>
      </c>
      <c r="E18" s="793">
        <v>3000</v>
      </c>
      <c r="F18" s="793">
        <v>3000</v>
      </c>
    </row>
    <row r="19" spans="1:6" ht="15" x14ac:dyDescent="0.25">
      <c r="A19" s="793" t="s">
        <v>1728</v>
      </c>
      <c r="E19" s="794">
        <f>SUM(E17:E18)</f>
        <v>16360</v>
      </c>
      <c r="F19" s="796">
        <f>SUM(F17:F18)</f>
        <v>17123.003809999998</v>
      </c>
    </row>
    <row r="22" spans="1:6" ht="15" x14ac:dyDescent="0.25">
      <c r="A22" s="792" t="s">
        <v>1729</v>
      </c>
    </row>
    <row r="23" spans="1:6" ht="15" x14ac:dyDescent="0.25">
      <c r="A23" s="794" t="s">
        <v>1738</v>
      </c>
    </row>
    <row r="24" spans="1:6" x14ac:dyDescent="0.2">
      <c r="B24" s="793" t="s">
        <v>1719</v>
      </c>
      <c r="D24" s="793">
        <v>2848</v>
      </c>
    </row>
    <row r="25" spans="1:6" x14ac:dyDescent="0.2">
      <c r="B25" s="793" t="s">
        <v>1718</v>
      </c>
      <c r="D25" s="793">
        <v>1772</v>
      </c>
    </row>
    <row r="26" spans="1:6" x14ac:dyDescent="0.2">
      <c r="B26" s="793" t="s">
        <v>1720</v>
      </c>
      <c r="D26" s="795">
        <f>D24/5</f>
        <v>569.6</v>
      </c>
    </row>
    <row r="27" spans="1:6" ht="15" x14ac:dyDescent="0.25">
      <c r="D27" s="792">
        <f>SUM(D24:D26)</f>
        <v>5189.6000000000004</v>
      </c>
    </row>
    <row r="29" spans="1:6" x14ac:dyDescent="0.2">
      <c r="A29" s="793" t="s">
        <v>1730</v>
      </c>
      <c r="E29" s="793">
        <f>4500/5*4</f>
        <v>3600</v>
      </c>
    </row>
    <row r="30" spans="1:6" x14ac:dyDescent="0.2">
      <c r="A30" s="793" t="s">
        <v>1731</v>
      </c>
      <c r="E30" s="793">
        <v>0.7</v>
      </c>
    </row>
    <row r="31" spans="1:6" x14ac:dyDescent="0.2">
      <c r="A31" s="793" t="s">
        <v>1732</v>
      </c>
      <c r="E31" s="793">
        <f>E29*E30</f>
        <v>2520</v>
      </c>
    </row>
    <row r="32" spans="1:6" x14ac:dyDescent="0.2">
      <c r="A32" s="793" t="s">
        <v>1727</v>
      </c>
      <c r="E32" s="793">
        <v>1000</v>
      </c>
    </row>
    <row r="33" spans="1:5" ht="15" x14ac:dyDescent="0.25">
      <c r="A33" s="793" t="s">
        <v>1733</v>
      </c>
      <c r="E33" s="792">
        <f>SUM(E31:E32)</f>
        <v>3520</v>
      </c>
    </row>
    <row r="35" spans="1:5" ht="15" x14ac:dyDescent="0.25">
      <c r="A35" s="792" t="s">
        <v>1734</v>
      </c>
    </row>
    <row r="36" spans="1:5" x14ac:dyDescent="0.2">
      <c r="A36" s="793" t="s">
        <v>1735</v>
      </c>
    </row>
    <row r="37" spans="1:5" x14ac:dyDescent="0.2">
      <c r="A37" s="793" t="s">
        <v>1736</v>
      </c>
    </row>
    <row r="39" spans="1:5" ht="15" x14ac:dyDescent="0.25">
      <c r="A39" s="792" t="s">
        <v>1737</v>
      </c>
    </row>
    <row r="41" spans="1:5" x14ac:dyDescent="0.2">
      <c r="A41" s="793" t="s">
        <v>1739</v>
      </c>
    </row>
    <row r="42" spans="1:5" x14ac:dyDescent="0.2">
      <c r="A42" s="793" t="s">
        <v>1740</v>
      </c>
    </row>
    <row r="50" spans="1:6" x14ac:dyDescent="0.2">
      <c r="A50"/>
      <c r="B50"/>
      <c r="C50"/>
      <c r="D50"/>
      <c r="E50"/>
      <c r="F50"/>
    </row>
    <row r="51" spans="1:6" ht="15.75" x14ac:dyDescent="0.25">
      <c r="A51" s="797" t="s">
        <v>539</v>
      </c>
      <c r="B51" s="798" t="s">
        <v>540</v>
      </c>
      <c r="C51" s="799" t="s">
        <v>541</v>
      </c>
      <c r="D51" s="799" t="s">
        <v>65</v>
      </c>
      <c r="E51" s="799" t="s">
        <v>542</v>
      </c>
      <c r="F51" s="799" t="s">
        <v>542</v>
      </c>
    </row>
    <row r="52" spans="1:6" ht="15.75" x14ac:dyDescent="0.25">
      <c r="A52" s="800" t="s">
        <v>543</v>
      </c>
      <c r="B52" s="801" t="s">
        <v>544</v>
      </c>
      <c r="C52" s="799" t="s">
        <v>545</v>
      </c>
      <c r="D52" s="799" t="s">
        <v>546</v>
      </c>
      <c r="E52" s="799" t="s">
        <v>547</v>
      </c>
      <c r="F52" s="799" t="s">
        <v>548</v>
      </c>
    </row>
    <row r="53" spans="1:6" ht="23.25" x14ac:dyDescent="0.35">
      <c r="A53" s="802">
        <v>649100.69099999999</v>
      </c>
      <c r="B53" s="803" t="s">
        <v>603</v>
      </c>
      <c r="C53" s="808">
        <v>8039939</v>
      </c>
      <c r="D53" s="808">
        <v>8039939</v>
      </c>
      <c r="E53" s="809">
        <f>303928+625000</f>
        <v>928928</v>
      </c>
      <c r="F53" s="809">
        <f>692234+1875000</f>
        <v>2567234</v>
      </c>
    </row>
    <row r="54" spans="1:6" ht="23.25" x14ac:dyDescent="0.35">
      <c r="A54" s="802">
        <v>649100.69200000004</v>
      </c>
      <c r="B54" s="803" t="s">
        <v>604</v>
      </c>
      <c r="C54" s="809">
        <v>500000</v>
      </c>
      <c r="D54" s="808">
        <v>217592</v>
      </c>
      <c r="E54" s="809">
        <v>1088250</v>
      </c>
      <c r="F54" s="809">
        <v>1833000</v>
      </c>
    </row>
    <row r="55" spans="1:6" ht="23.25" x14ac:dyDescent="0.35">
      <c r="A55" s="802">
        <v>649100.69299999997</v>
      </c>
      <c r="B55" s="803" t="s">
        <v>605</v>
      </c>
      <c r="C55" s="809">
        <v>80000</v>
      </c>
      <c r="D55" s="808">
        <v>47832</v>
      </c>
      <c r="E55" s="809">
        <v>26981</v>
      </c>
      <c r="F55" s="809">
        <v>16752</v>
      </c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ht="15" x14ac:dyDescent="0.25">
      <c r="A58" s="804" t="s">
        <v>1741</v>
      </c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 t="s">
        <v>1742</v>
      </c>
      <c r="B60" t="s">
        <v>1743</v>
      </c>
      <c r="C60"/>
      <c r="D60"/>
      <c r="E60">
        <v>303928</v>
      </c>
      <c r="F60"/>
    </row>
    <row r="61" spans="1:6" x14ac:dyDescent="0.2">
      <c r="A61"/>
      <c r="B61"/>
      <c r="C61"/>
      <c r="D61"/>
      <c r="E61"/>
      <c r="F61"/>
    </row>
    <row r="62" spans="1:6" x14ac:dyDescent="0.2">
      <c r="A62" t="s">
        <v>1744</v>
      </c>
      <c r="B62"/>
      <c r="C62"/>
      <c r="D62"/>
      <c r="E62"/>
      <c r="F62"/>
    </row>
    <row r="63" spans="1:6" x14ac:dyDescent="0.2">
      <c r="A63" t="s">
        <v>1745</v>
      </c>
      <c r="B63"/>
      <c r="C63">
        <f>12500/10*0.5</f>
        <v>625</v>
      </c>
      <c r="D63" t="s">
        <v>1746</v>
      </c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 t="s">
        <v>1747</v>
      </c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  <row r="67" spans="1:6" x14ac:dyDescent="0.2">
      <c r="A67" t="s">
        <v>1748</v>
      </c>
      <c r="B67"/>
      <c r="C67"/>
      <c r="D67"/>
      <c r="E67"/>
      <c r="F67"/>
    </row>
    <row r="68" spans="1:6" x14ac:dyDescent="0.2">
      <c r="A68" t="s">
        <v>1749</v>
      </c>
      <c r="B68"/>
      <c r="C68">
        <f>12500/10</f>
        <v>1250</v>
      </c>
      <c r="D68" t="s">
        <v>1750</v>
      </c>
      <c r="E68"/>
      <c r="F68"/>
    </row>
    <row r="69" spans="1:6" x14ac:dyDescent="0.2">
      <c r="A69" t="s">
        <v>1751</v>
      </c>
      <c r="B69"/>
      <c r="C69">
        <f>12500/10*0.5</f>
        <v>625</v>
      </c>
      <c r="D69" t="s">
        <v>1752</v>
      </c>
      <c r="E69"/>
      <c r="F69"/>
    </row>
    <row r="70" spans="1:6" x14ac:dyDescent="0.2">
      <c r="A70" t="s">
        <v>1753</v>
      </c>
      <c r="B70"/>
      <c r="C70">
        <f>SUM(C68:C69)</f>
        <v>1875</v>
      </c>
      <c r="D70"/>
      <c r="E70"/>
      <c r="F70"/>
    </row>
    <row r="71" spans="1:6" x14ac:dyDescent="0.2">
      <c r="A71" t="s">
        <v>1754</v>
      </c>
      <c r="B71"/>
      <c r="C71">
        <v>692</v>
      </c>
      <c r="D71"/>
      <c r="E71"/>
      <c r="F71"/>
    </row>
    <row r="72" spans="1:6" ht="15" x14ac:dyDescent="0.25">
      <c r="A72" t="s">
        <v>143</v>
      </c>
      <c r="B72"/>
      <c r="C72" s="805">
        <f>SUM(C70:C71)</f>
        <v>2567</v>
      </c>
      <c r="D72"/>
      <c r="E72"/>
      <c r="F72"/>
    </row>
    <row r="73" spans="1:6" x14ac:dyDescent="0.2">
      <c r="A73"/>
      <c r="B73"/>
      <c r="C73"/>
      <c r="D73"/>
      <c r="E73"/>
      <c r="F73"/>
    </row>
    <row r="74" spans="1:6" ht="15" x14ac:dyDescent="0.25">
      <c r="A74" s="805" t="s">
        <v>1755</v>
      </c>
      <c r="B74"/>
      <c r="C74"/>
      <c r="D74"/>
      <c r="E74"/>
      <c r="F74"/>
    </row>
    <row r="75" spans="1:6" x14ac:dyDescent="0.2">
      <c r="A75" t="s">
        <v>1756</v>
      </c>
      <c r="B75"/>
      <c r="C75">
        <v>682</v>
      </c>
      <c r="D75"/>
      <c r="E75"/>
      <c r="F75"/>
    </row>
    <row r="76" spans="1:6" x14ac:dyDescent="0.2">
      <c r="A76" t="s">
        <v>1757</v>
      </c>
      <c r="B76"/>
      <c r="C76" s="806">
        <f>12500*0.065*0.5</f>
        <v>406.25</v>
      </c>
      <c r="D76"/>
      <c r="E76"/>
      <c r="F76"/>
    </row>
    <row r="77" spans="1:6" ht="15" x14ac:dyDescent="0.25">
      <c r="A77" t="s">
        <v>143</v>
      </c>
      <c r="B77"/>
      <c r="C77" s="805">
        <f>SUM(C75:C76)</f>
        <v>1088.25</v>
      </c>
      <c r="D77"/>
      <c r="E77"/>
      <c r="F77"/>
    </row>
    <row r="78" spans="1:6" x14ac:dyDescent="0.2">
      <c r="A78"/>
      <c r="B78"/>
      <c r="C78"/>
      <c r="D78"/>
      <c r="E78"/>
      <c r="F78"/>
    </row>
    <row r="79" spans="1:6" ht="15" x14ac:dyDescent="0.25">
      <c r="A79" s="805" t="s">
        <v>1758</v>
      </c>
      <c r="B79"/>
      <c r="C79"/>
      <c r="D79"/>
      <c r="E79"/>
      <c r="F79"/>
    </row>
    <row r="80" spans="1:6" x14ac:dyDescent="0.2">
      <c r="A80" t="s">
        <v>1759</v>
      </c>
      <c r="B80"/>
      <c r="C80" s="806">
        <v>655</v>
      </c>
      <c r="D80"/>
      <c r="E80"/>
      <c r="F80"/>
    </row>
    <row r="81" spans="1:6" x14ac:dyDescent="0.2">
      <c r="A81" t="s">
        <v>1760</v>
      </c>
      <c r="B81"/>
      <c r="C81" s="806">
        <f>(12500-12500/10*0.5)*0.065</f>
        <v>771.875</v>
      </c>
      <c r="D81" t="s">
        <v>1761</v>
      </c>
      <c r="E81"/>
      <c r="F81"/>
    </row>
    <row r="82" spans="1:6" x14ac:dyDescent="0.2">
      <c r="A82" t="s">
        <v>1762</v>
      </c>
      <c r="B82"/>
      <c r="C82" s="806">
        <f>12500*0.5*0.065</f>
        <v>406.25</v>
      </c>
      <c r="D82" t="s">
        <v>1763</v>
      </c>
      <c r="E82"/>
      <c r="F82"/>
    </row>
    <row r="83" spans="1:6" ht="15" x14ac:dyDescent="0.25">
      <c r="A83"/>
      <c r="B83"/>
      <c r="C83" s="807">
        <f>SUM(C80:C82)</f>
        <v>1833.125</v>
      </c>
      <c r="D83"/>
      <c r="E83"/>
      <c r="F83"/>
    </row>
    <row r="84" spans="1:6" x14ac:dyDescent="0.2">
      <c r="A84"/>
      <c r="B84"/>
      <c r="C84"/>
      <c r="D84"/>
      <c r="E84"/>
      <c r="F84"/>
    </row>
    <row r="85" spans="1:6" x14ac:dyDescent="0.2">
      <c r="A85"/>
      <c r="B85"/>
      <c r="C85"/>
      <c r="D85"/>
      <c r="E85"/>
      <c r="F85"/>
    </row>
    <row r="86" spans="1:6" x14ac:dyDescent="0.2">
      <c r="A86"/>
      <c r="B86"/>
      <c r="C86"/>
      <c r="D86"/>
      <c r="E86"/>
      <c r="F86"/>
    </row>
    <row r="87" spans="1:6" x14ac:dyDescent="0.2">
      <c r="A87"/>
      <c r="B87"/>
      <c r="C87"/>
      <c r="D87"/>
      <c r="E87"/>
      <c r="F87"/>
    </row>
    <row r="88" spans="1:6" x14ac:dyDescent="0.2">
      <c r="A88"/>
      <c r="B88"/>
      <c r="C88"/>
      <c r="D88"/>
      <c r="E88"/>
      <c r="F88"/>
    </row>
    <row r="89" spans="1:6" x14ac:dyDescent="0.2">
      <c r="A89"/>
      <c r="B89"/>
      <c r="C89"/>
      <c r="D89"/>
      <c r="E89"/>
      <c r="F89"/>
    </row>
    <row r="90" spans="1:6" x14ac:dyDescent="0.2">
      <c r="A90"/>
      <c r="B90"/>
      <c r="C90"/>
      <c r="D90"/>
      <c r="E90"/>
      <c r="F90"/>
    </row>
    <row r="91" spans="1:6" x14ac:dyDescent="0.2">
      <c r="A91"/>
      <c r="B91"/>
      <c r="C91"/>
      <c r="D91"/>
      <c r="E91"/>
      <c r="F91"/>
    </row>
    <row r="92" spans="1:6" x14ac:dyDescent="0.2">
      <c r="A92"/>
      <c r="B92"/>
      <c r="C92"/>
      <c r="D92"/>
      <c r="E92"/>
      <c r="F92"/>
    </row>
    <row r="93" spans="1:6" x14ac:dyDescent="0.2">
      <c r="A93"/>
      <c r="B93"/>
      <c r="C93"/>
      <c r="D93"/>
      <c r="E93"/>
      <c r="F93"/>
    </row>
    <row r="94" spans="1:6" x14ac:dyDescent="0.2">
      <c r="A94"/>
      <c r="B94"/>
      <c r="C94"/>
      <c r="D94"/>
      <c r="E94"/>
      <c r="F94"/>
    </row>
    <row r="95" spans="1:6" x14ac:dyDescent="0.2">
      <c r="A95"/>
      <c r="B95"/>
      <c r="C95"/>
      <c r="D95"/>
      <c r="E95"/>
      <c r="F95"/>
    </row>
    <row r="96" spans="1:6" x14ac:dyDescent="0.2">
      <c r="A96"/>
      <c r="B96"/>
      <c r="C96"/>
      <c r="D96"/>
      <c r="E96"/>
      <c r="F96"/>
    </row>
    <row r="97" spans="1:6" x14ac:dyDescent="0.2">
      <c r="A97"/>
      <c r="B97"/>
      <c r="C97"/>
      <c r="D97"/>
      <c r="E97"/>
      <c r="F97"/>
    </row>
    <row r="98" spans="1:6" x14ac:dyDescent="0.2">
      <c r="A98"/>
      <c r="B98"/>
      <c r="C98"/>
      <c r="D98"/>
      <c r="E98"/>
      <c r="F98"/>
    </row>
    <row r="99" spans="1:6" x14ac:dyDescent="0.2">
      <c r="A99"/>
      <c r="B99"/>
      <c r="C99"/>
      <c r="D99"/>
      <c r="E99"/>
      <c r="F99"/>
    </row>
    <row r="100" spans="1:6" x14ac:dyDescent="0.2">
      <c r="A100"/>
      <c r="B100"/>
      <c r="C100"/>
      <c r="D100"/>
      <c r="E100"/>
      <c r="F100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53"/>
  <sheetViews>
    <sheetView showGridLines="0" rightToLeft="1" topLeftCell="B1" zoomScaleNormal="100" zoomScaleSheetLayoutView="130" zoomScalePageLayoutView="120" workbookViewId="0">
      <selection activeCell="E7" sqref="E7"/>
    </sheetView>
  </sheetViews>
  <sheetFormatPr defaultColWidth="9.140625" defaultRowHeight="15" x14ac:dyDescent="0.25"/>
  <cols>
    <col min="1" max="1" width="9.140625" style="1201" hidden="1" customWidth="1"/>
    <col min="2" max="2" width="9.140625" style="1201" customWidth="1"/>
    <col min="3" max="3" width="11.42578125" style="1295" bestFit="1" customWidth="1"/>
    <col min="4" max="4" width="33.28515625" style="1301" bestFit="1" customWidth="1"/>
    <col min="5" max="5" width="12.140625" style="1221" bestFit="1" customWidth="1"/>
    <col min="6" max="7" width="12.140625" style="1201" hidden="1" customWidth="1"/>
    <col min="8" max="8" width="12.140625" style="1201" customWidth="1"/>
    <col min="9" max="9" width="15" style="1221" bestFit="1" customWidth="1"/>
    <col min="10" max="10" width="12.7109375" style="1221" hidden="1" customWidth="1"/>
    <col min="11" max="11" width="16.28515625" style="1221" hidden="1" customWidth="1"/>
    <col min="12" max="13" width="9.140625" style="1201" hidden="1" customWidth="1"/>
    <col min="14" max="14" width="11.140625" style="1201" hidden="1" customWidth="1"/>
    <col min="15" max="15" width="9.140625" style="1201" hidden="1" customWidth="1"/>
    <col min="16" max="16" width="16" style="1201" hidden="1" customWidth="1"/>
    <col min="17" max="17" width="14" style="1201" bestFit="1" customWidth="1"/>
    <col min="18" max="18" width="12.85546875" style="1201" bestFit="1" customWidth="1"/>
    <col min="19" max="19" width="14" style="1201" bestFit="1" customWidth="1"/>
    <col min="20" max="22" width="9.140625" style="1201" hidden="1" customWidth="1"/>
    <col min="23" max="23" width="12.140625" style="1221" hidden="1" customWidth="1"/>
    <col min="24" max="24" width="25.140625" style="1221" hidden="1" customWidth="1"/>
    <col min="25" max="28" width="9.140625" style="1201" hidden="1" customWidth="1"/>
    <col min="29" max="29" width="31.140625" style="1201" hidden="1" customWidth="1"/>
    <col min="30" max="31" width="9.140625" style="81" hidden="1" customWidth="1"/>
    <col min="32" max="32" width="9.140625" style="81" customWidth="1"/>
    <col min="33" max="16384" width="9.140625" style="1201"/>
  </cols>
  <sheetData>
    <row r="1" spans="3:33" x14ac:dyDescent="0.25">
      <c r="C1" s="1202" t="s">
        <v>539</v>
      </c>
      <c r="D1" s="1203" t="s">
        <v>540</v>
      </c>
      <c r="E1" s="1204" t="s">
        <v>541</v>
      </c>
      <c r="F1" s="1204" t="s">
        <v>65</v>
      </c>
      <c r="G1" s="1204" t="s">
        <v>1781</v>
      </c>
      <c r="H1" s="1204" t="s">
        <v>65</v>
      </c>
      <c r="I1" s="1205" t="s">
        <v>542</v>
      </c>
      <c r="J1" s="1204" t="s">
        <v>1846</v>
      </c>
      <c r="K1" s="1204" t="s">
        <v>1851</v>
      </c>
      <c r="P1" s="829" t="s">
        <v>2051</v>
      </c>
      <c r="Q1" s="829" t="s">
        <v>3139</v>
      </c>
      <c r="R1" s="829" t="s">
        <v>113</v>
      </c>
      <c r="S1" s="829" t="s">
        <v>2052</v>
      </c>
      <c r="W1" s="1204" t="s">
        <v>2058</v>
      </c>
      <c r="X1" s="1206" t="s">
        <v>2033</v>
      </c>
    </row>
    <row r="2" spans="3:33" s="1207" customFormat="1" ht="15.6" customHeight="1" x14ac:dyDescent="0.25">
      <c r="C2" s="664" t="s">
        <v>543</v>
      </c>
      <c r="D2" s="458" t="s">
        <v>544</v>
      </c>
      <c r="E2" s="1204" t="s">
        <v>545</v>
      </c>
      <c r="F2" s="1208" t="s">
        <v>1786</v>
      </c>
      <c r="G2" s="1208" t="s">
        <v>1787</v>
      </c>
      <c r="H2" s="1205" t="s">
        <v>545</v>
      </c>
      <c r="I2" s="1204" t="s">
        <v>547</v>
      </c>
      <c r="J2" s="1204" t="s">
        <v>1847</v>
      </c>
      <c r="K2" s="1204" t="s">
        <v>547</v>
      </c>
      <c r="P2" s="1204" t="s">
        <v>547</v>
      </c>
      <c r="Q2" s="1204" t="s">
        <v>547</v>
      </c>
      <c r="R2" s="1204" t="s">
        <v>548</v>
      </c>
      <c r="S2" s="1204" t="s">
        <v>2076</v>
      </c>
      <c r="W2" s="1204" t="s">
        <v>548</v>
      </c>
      <c r="X2" s="1206"/>
    </row>
    <row r="3" spans="3:33" s="1209" customFormat="1" ht="15.6" customHeight="1" x14ac:dyDescent="0.25">
      <c r="C3" s="1210">
        <v>611000.47</v>
      </c>
      <c r="D3" s="689" t="s">
        <v>549</v>
      </c>
      <c r="E3" s="667">
        <v>20000</v>
      </c>
      <c r="F3" s="667">
        <v>51011</v>
      </c>
      <c r="G3" s="667">
        <f t="shared" ref="G3:G8" si="0">F3/11</f>
        <v>4637.363636363636</v>
      </c>
      <c r="H3" s="667">
        <f t="shared" ref="H3:H8" si="1">F3+G3</f>
        <v>55648.363636363632</v>
      </c>
      <c r="I3" s="667">
        <v>20000</v>
      </c>
      <c r="J3" s="667">
        <v>0</v>
      </c>
      <c r="K3" s="667">
        <v>20000</v>
      </c>
      <c r="P3" s="608">
        <v>410</v>
      </c>
      <c r="Q3" s="608">
        <v>1910</v>
      </c>
      <c r="R3" s="667">
        <v>20000</v>
      </c>
      <c r="S3" s="667">
        <v>20000</v>
      </c>
      <c r="W3" s="1211">
        <v>20000</v>
      </c>
      <c r="X3" s="961"/>
      <c r="Y3" s="81">
        <v>20000</v>
      </c>
      <c r="Z3" s="1212"/>
      <c r="AA3" s="81"/>
      <c r="AB3" s="1213"/>
      <c r="AC3" s="1212">
        <f t="shared" ref="AC3:AC9" si="2">K3-I3</f>
        <v>0</v>
      </c>
      <c r="AG3" s="81"/>
    </row>
    <row r="4" spans="3:33" ht="15.6" customHeight="1" x14ac:dyDescent="0.25">
      <c r="C4" s="1210">
        <v>611000.522</v>
      </c>
      <c r="D4" s="689" t="s">
        <v>550</v>
      </c>
      <c r="E4" s="667">
        <v>7095</v>
      </c>
      <c r="F4" s="667">
        <v>6360</v>
      </c>
      <c r="G4" s="667">
        <f t="shared" si="0"/>
        <v>578.18181818181813</v>
      </c>
      <c r="H4" s="667">
        <f t="shared" si="1"/>
        <v>6938.181818181818</v>
      </c>
      <c r="I4" s="667">
        <v>7095</v>
      </c>
      <c r="J4" s="667">
        <v>2900</v>
      </c>
      <c r="K4" s="667">
        <v>7100</v>
      </c>
      <c r="P4" s="608">
        <v>5220</v>
      </c>
      <c r="Q4" s="608">
        <f>P4/9*12</f>
        <v>6960</v>
      </c>
      <c r="R4" s="667">
        <v>7000</v>
      </c>
      <c r="S4" s="667">
        <v>7000</v>
      </c>
      <c r="W4" s="667">
        <v>7095</v>
      </c>
      <c r="X4" s="961"/>
      <c r="Y4" s="81">
        <v>7100</v>
      </c>
      <c r="Z4" s="1212"/>
      <c r="AA4" s="1213"/>
      <c r="AB4" s="1213"/>
      <c r="AC4" s="1212">
        <f t="shared" si="2"/>
        <v>5</v>
      </c>
      <c r="AG4" s="1213"/>
    </row>
    <row r="5" spans="3:33" ht="15.6" customHeight="1" x14ac:dyDescent="0.25">
      <c r="C5" s="1210">
        <v>611000.55000000005</v>
      </c>
      <c r="D5" s="689" t="s">
        <v>551</v>
      </c>
      <c r="E5" s="667">
        <v>50000</v>
      </c>
      <c r="F5" s="667">
        <v>32321</v>
      </c>
      <c r="G5" s="667">
        <f t="shared" si="0"/>
        <v>2938.2727272727275</v>
      </c>
      <c r="H5" s="667">
        <f t="shared" si="1"/>
        <v>35259.272727272728</v>
      </c>
      <c r="I5" s="610">
        <v>30000</v>
      </c>
      <c r="J5" s="667">
        <v>37262</v>
      </c>
      <c r="K5" s="667">
        <v>67000</v>
      </c>
      <c r="P5" s="608">
        <v>59843</v>
      </c>
      <c r="Q5" s="608">
        <v>60343</v>
      </c>
      <c r="R5" s="667">
        <v>60000</v>
      </c>
      <c r="S5" s="667">
        <v>60000</v>
      </c>
      <c r="W5" s="1211">
        <v>13000</v>
      </c>
      <c r="X5" s="961"/>
      <c r="Y5" s="81">
        <v>67000</v>
      </c>
      <c r="Z5" s="81"/>
      <c r="AA5" s="81"/>
      <c r="AB5" s="81"/>
      <c r="AC5" s="1212">
        <f t="shared" si="2"/>
        <v>37000</v>
      </c>
      <c r="AG5" s="81"/>
    </row>
    <row r="6" spans="3:33" ht="15.6" customHeight="1" x14ac:dyDescent="0.25">
      <c r="C6" s="1210">
        <v>611000.55099999998</v>
      </c>
      <c r="D6" s="689" t="s">
        <v>552</v>
      </c>
      <c r="E6" s="667">
        <v>0</v>
      </c>
      <c r="F6" s="667">
        <v>0</v>
      </c>
      <c r="G6" s="667">
        <f t="shared" si="0"/>
        <v>0</v>
      </c>
      <c r="H6" s="667">
        <f t="shared" si="1"/>
        <v>0</v>
      </c>
      <c r="I6" s="667">
        <v>20000</v>
      </c>
      <c r="J6" s="667">
        <v>6060</v>
      </c>
      <c r="K6" s="667">
        <v>20000</v>
      </c>
      <c r="P6" s="608">
        <v>10819</v>
      </c>
      <c r="Q6" s="608">
        <v>13292</v>
      </c>
      <c r="R6" s="667">
        <v>20000</v>
      </c>
      <c r="S6" s="667">
        <v>20000</v>
      </c>
      <c r="W6" s="1211">
        <v>20000</v>
      </c>
      <c r="X6" s="961"/>
      <c r="Y6" s="81">
        <v>20000</v>
      </c>
      <c r="Z6" s="1212"/>
      <c r="AA6" s="1213"/>
      <c r="AB6" s="1213"/>
      <c r="AC6" s="1212">
        <f t="shared" si="2"/>
        <v>0</v>
      </c>
      <c r="AG6" s="1213"/>
    </row>
    <row r="7" spans="3:33" ht="15.6" customHeight="1" x14ac:dyDescent="0.25">
      <c r="C7" s="1210">
        <v>611000.72</v>
      </c>
      <c r="D7" s="689" t="s">
        <v>553</v>
      </c>
      <c r="E7" s="667">
        <v>2000</v>
      </c>
      <c r="F7" s="667">
        <v>1000</v>
      </c>
      <c r="G7" s="667">
        <f t="shared" si="0"/>
        <v>90.909090909090907</v>
      </c>
      <c r="H7" s="667">
        <f t="shared" si="1"/>
        <v>1090.909090909091</v>
      </c>
      <c r="I7" s="667">
        <v>2000</v>
      </c>
      <c r="J7" s="667">
        <v>0</v>
      </c>
      <c r="K7" s="667">
        <v>5000</v>
      </c>
      <c r="P7" s="608">
        <v>0</v>
      </c>
      <c r="Q7" s="608">
        <v>900</v>
      </c>
      <c r="R7" s="667">
        <v>2000</v>
      </c>
      <c r="S7" s="667">
        <v>2000</v>
      </c>
      <c r="W7" s="667">
        <v>5000</v>
      </c>
      <c r="X7" s="961"/>
      <c r="Y7" s="81">
        <v>5000</v>
      </c>
      <c r="Z7" s="1212"/>
      <c r="AA7" s="1213"/>
      <c r="AB7" s="1213"/>
      <c r="AC7" s="1212">
        <f t="shared" si="2"/>
        <v>3000</v>
      </c>
      <c r="AG7" s="1213"/>
    </row>
    <row r="8" spans="3:33" ht="15.6" customHeight="1" x14ac:dyDescent="0.25">
      <c r="C8" s="1210">
        <v>611000.78</v>
      </c>
      <c r="D8" s="689" t="s">
        <v>554</v>
      </c>
      <c r="E8" s="667">
        <v>19500</v>
      </c>
      <c r="F8" s="667">
        <v>17922</v>
      </c>
      <c r="G8" s="667">
        <f t="shared" si="0"/>
        <v>1629.2727272727273</v>
      </c>
      <c r="H8" s="667">
        <f t="shared" si="1"/>
        <v>19551.272727272728</v>
      </c>
      <c r="I8" s="667">
        <v>20000</v>
      </c>
      <c r="J8" s="667">
        <v>3899</v>
      </c>
      <c r="K8" s="667">
        <v>20000</v>
      </c>
      <c r="M8" s="1214"/>
      <c r="N8" s="1214"/>
      <c r="O8" s="1214"/>
      <c r="P8" s="608">
        <v>5579</v>
      </c>
      <c r="Q8" s="608">
        <v>10290</v>
      </c>
      <c r="R8" s="667">
        <v>11000</v>
      </c>
      <c r="S8" s="667">
        <v>11000</v>
      </c>
      <c r="W8" s="1211">
        <v>20000</v>
      </c>
      <c r="X8" s="961"/>
      <c r="Y8" s="81">
        <v>20000</v>
      </c>
      <c r="Z8" s="1212"/>
      <c r="AA8" s="81"/>
      <c r="AB8" s="1213"/>
      <c r="AC8" s="1212">
        <f t="shared" si="2"/>
        <v>0</v>
      </c>
      <c r="AG8" s="81"/>
    </row>
    <row r="9" spans="3:33" ht="15.6" customHeight="1" x14ac:dyDescent="0.25">
      <c r="C9" s="1210">
        <v>611000.52300000004</v>
      </c>
      <c r="D9" s="689" t="s">
        <v>555</v>
      </c>
      <c r="E9" s="667">
        <v>155000</v>
      </c>
      <c r="F9" s="667">
        <v>69445</v>
      </c>
      <c r="G9" s="667">
        <f>H9-F9</f>
        <v>85555</v>
      </c>
      <c r="H9" s="667">
        <f>E9</f>
        <v>155000</v>
      </c>
      <c r="I9" s="667">
        <v>155000</v>
      </c>
      <c r="J9" s="667">
        <v>7530</v>
      </c>
      <c r="K9" s="667">
        <v>155000</v>
      </c>
      <c r="N9" s="1214"/>
      <c r="O9" s="1214"/>
      <c r="P9" s="608">
        <v>14883</v>
      </c>
      <c r="Q9" s="608">
        <v>15443</v>
      </c>
      <c r="R9" s="667">
        <v>155000</v>
      </c>
      <c r="S9" s="667">
        <v>155000</v>
      </c>
      <c r="W9" s="667">
        <v>155000</v>
      </c>
      <c r="X9" s="961"/>
      <c r="Y9" s="81">
        <v>155000</v>
      </c>
      <c r="Z9" s="1212"/>
      <c r="AA9" s="1213"/>
      <c r="AB9" s="1213"/>
      <c r="AC9" s="1212">
        <f t="shared" si="2"/>
        <v>0</v>
      </c>
      <c r="AG9" s="1213"/>
    </row>
    <row r="10" spans="3:33" ht="15.6" customHeight="1" x14ac:dyDescent="0.25">
      <c r="C10" s="1215">
        <v>611100.11</v>
      </c>
      <c r="D10" s="1216" t="s">
        <v>556</v>
      </c>
      <c r="E10" s="1217">
        <f>מוניצ!I5</f>
        <v>758448</v>
      </c>
      <c r="F10" s="1217">
        <v>633287</v>
      </c>
      <c r="G10" s="1217">
        <f>F10/10*2</f>
        <v>126657.4</v>
      </c>
      <c r="H10" s="1217">
        <f t="shared" ref="H10:H20" si="3">F10+G10</f>
        <v>759944.4</v>
      </c>
      <c r="I10" s="1217">
        <f>מוניצ!K5</f>
        <v>770000</v>
      </c>
      <c r="J10" s="1217">
        <v>379268</v>
      </c>
      <c r="K10" s="1217">
        <f>מוניצ!K5</f>
        <v>770000</v>
      </c>
      <c r="L10" s="1218"/>
      <c r="M10" s="1219"/>
      <c r="N10" s="1219"/>
      <c r="O10" s="1219"/>
      <c r="P10" s="1217">
        <f>שכר!AG3</f>
        <v>558053.28</v>
      </c>
      <c r="Q10" s="1217">
        <f>שכר!AI3</f>
        <v>735176.7</v>
      </c>
      <c r="R10" s="1217">
        <f>שכר!AM3</f>
        <v>742528.46699999995</v>
      </c>
      <c r="S10" s="1217">
        <f>R10*1.02</f>
        <v>757379.03633999999</v>
      </c>
      <c r="T10" s="1217">
        <f>שכר!AO3</f>
        <v>0</v>
      </c>
      <c r="U10" s="1217">
        <f>שכר!AP3</f>
        <v>0</v>
      </c>
      <c r="V10" s="1217">
        <f>שכר!AQ3</f>
        <v>0</v>
      </c>
      <c r="W10" s="1217">
        <f>שכר!AR3</f>
        <v>0</v>
      </c>
      <c r="X10" s="1217">
        <f>שכר!AS3</f>
        <v>0</v>
      </c>
      <c r="Y10" s="1217">
        <f>שכר!AT3</f>
        <v>0</v>
      </c>
      <c r="Z10" s="1217">
        <f>שכר!AU3</f>
        <v>0</v>
      </c>
      <c r="AA10" s="1217">
        <f>שכר!AV3</f>
        <v>0</v>
      </c>
      <c r="AB10" s="1217">
        <f>שכר!AW3</f>
        <v>0</v>
      </c>
      <c r="AC10" s="1217">
        <f>שכר!AX3</f>
        <v>0</v>
      </c>
      <c r="AD10" s="1217">
        <f>שכר!AY3</f>
        <v>0</v>
      </c>
      <c r="AE10" s="1217">
        <f>שכר!AZ3</f>
        <v>0</v>
      </c>
      <c r="AG10" s="1213"/>
    </row>
    <row r="11" spans="3:33" ht="15.6" customHeight="1" x14ac:dyDescent="0.25">
      <c r="C11" s="1210">
        <v>611100.51</v>
      </c>
      <c r="D11" s="689" t="s">
        <v>557</v>
      </c>
      <c r="E11" s="667">
        <v>4000</v>
      </c>
      <c r="F11" s="667">
        <v>2850</v>
      </c>
      <c r="G11" s="667">
        <f>F11/11</f>
        <v>259.09090909090907</v>
      </c>
      <c r="H11" s="667">
        <f t="shared" si="3"/>
        <v>3109.090909090909</v>
      </c>
      <c r="I11" s="667">
        <v>4000</v>
      </c>
      <c r="J11" s="667">
        <v>500</v>
      </c>
      <c r="K11" s="667">
        <v>4000</v>
      </c>
      <c r="P11" s="608">
        <v>3600</v>
      </c>
      <c r="Q11" s="608">
        <v>3900</v>
      </c>
      <c r="R11" s="667">
        <v>5000</v>
      </c>
      <c r="S11" s="667">
        <v>5000</v>
      </c>
      <c r="W11" s="667">
        <v>4000</v>
      </c>
      <c r="X11" s="961"/>
      <c r="Y11" s="81">
        <v>4000</v>
      </c>
      <c r="Z11" s="1212"/>
      <c r="AA11" s="1213"/>
      <c r="AB11" s="1213"/>
      <c r="AC11" s="1212">
        <f t="shared" ref="AC11:AC71" si="4">K11-I11</f>
        <v>0</v>
      </c>
      <c r="AG11" s="1213"/>
    </row>
    <row r="12" spans="3:33" ht="15.6" customHeight="1" x14ac:dyDescent="0.25">
      <c r="C12" s="1210">
        <v>611100.52300000004</v>
      </c>
      <c r="D12" s="689" t="s">
        <v>558</v>
      </c>
      <c r="E12" s="667">
        <v>50000</v>
      </c>
      <c r="F12" s="667">
        <v>48500</v>
      </c>
      <c r="G12" s="667">
        <f>F12/11</f>
        <v>4409.090909090909</v>
      </c>
      <c r="H12" s="667">
        <f t="shared" si="3"/>
        <v>52909.090909090912</v>
      </c>
      <c r="I12" s="610">
        <v>50000</v>
      </c>
      <c r="J12" s="667">
        <v>27550</v>
      </c>
      <c r="K12" s="667">
        <v>55000</v>
      </c>
      <c r="M12" s="1214"/>
      <c r="P12" s="608">
        <v>20663</v>
      </c>
      <c r="Q12" s="608">
        <v>28093</v>
      </c>
      <c r="R12" s="667">
        <v>55000</v>
      </c>
      <c r="S12" s="667">
        <v>55000</v>
      </c>
      <c r="W12" s="1140">
        <v>55000</v>
      </c>
      <c r="X12" s="961"/>
      <c r="Y12" s="81">
        <v>55000</v>
      </c>
      <c r="Z12" s="1212"/>
      <c r="AA12" s="1213"/>
      <c r="AB12" s="81"/>
      <c r="AC12" s="1212">
        <f>K12-I12</f>
        <v>5000</v>
      </c>
      <c r="AG12" s="1213"/>
    </row>
    <row r="13" spans="3:33" ht="15.6" customHeight="1" x14ac:dyDescent="0.25">
      <c r="C13" s="1210">
        <v>611100.54099999997</v>
      </c>
      <c r="D13" s="689" t="s">
        <v>559</v>
      </c>
      <c r="E13" s="667">
        <v>80000</v>
      </c>
      <c r="F13" s="667">
        <v>54470</v>
      </c>
      <c r="G13" s="667">
        <f>F13/11</f>
        <v>4951.818181818182</v>
      </c>
      <c r="H13" s="667">
        <f t="shared" si="3"/>
        <v>59421.818181818184</v>
      </c>
      <c r="I13" s="667">
        <v>80000</v>
      </c>
      <c r="J13" s="667">
        <f>24615+X13</f>
        <v>36813</v>
      </c>
      <c r="K13" s="667">
        <v>80000</v>
      </c>
      <c r="P13" s="608">
        <f>52153+8000</f>
        <v>60153</v>
      </c>
      <c r="Q13" s="608">
        <f>7047+74808</f>
        <v>81855</v>
      </c>
      <c r="R13" s="667">
        <v>82000</v>
      </c>
      <c r="S13" s="667">
        <v>82000</v>
      </c>
      <c r="W13" s="667">
        <v>80000</v>
      </c>
      <c r="X13" s="961">
        <f>5532+6666</f>
        <v>12198</v>
      </c>
      <c r="Y13" s="81">
        <v>80000</v>
      </c>
      <c r="Z13" s="1212"/>
      <c r="AA13" s="1213"/>
      <c r="AB13" s="1213"/>
      <c r="AC13" s="1212">
        <f>K13-I13</f>
        <v>0</v>
      </c>
      <c r="AG13" s="1213"/>
    </row>
    <row r="14" spans="3:33" ht="15" customHeight="1" x14ac:dyDescent="0.25">
      <c r="C14" s="1215">
        <v>611200.11</v>
      </c>
      <c r="D14" s="1216" t="s">
        <v>560</v>
      </c>
      <c r="E14" s="1217">
        <f>מוניצ!I7</f>
        <v>142803</v>
      </c>
      <c r="F14" s="1217">
        <v>119980</v>
      </c>
      <c r="G14" s="1217">
        <f>F14/10*2</f>
        <v>23996</v>
      </c>
      <c r="H14" s="1217">
        <f t="shared" si="3"/>
        <v>143976</v>
      </c>
      <c r="I14" s="1217">
        <f>מוניצ!K7</f>
        <v>147000</v>
      </c>
      <c r="J14" s="1217">
        <v>77549</v>
      </c>
      <c r="K14" s="1217">
        <f>מוניצ!K7</f>
        <v>147000</v>
      </c>
      <c r="L14" s="1218"/>
      <c r="M14" s="1218"/>
      <c r="N14" s="1218"/>
      <c r="O14" s="1218"/>
      <c r="P14" s="1217">
        <f>שכר!AG5</f>
        <v>112348.06</v>
      </c>
      <c r="Q14" s="1217">
        <v>149460</v>
      </c>
      <c r="R14" s="1217">
        <f>שכר!AM5</f>
        <v>146421.3468</v>
      </c>
      <c r="S14" s="1217">
        <f>R14*1.02</f>
        <v>149349.773736</v>
      </c>
      <c r="W14" s="1217">
        <f>מוניצ!AH7</f>
        <v>0</v>
      </c>
      <c r="X14" s="961"/>
      <c r="Y14" s="81"/>
      <c r="Z14" s="81"/>
      <c r="AA14" s="81"/>
      <c r="AB14" s="81"/>
      <c r="AC14" s="1212">
        <f>K14-I14</f>
        <v>0</v>
      </c>
      <c r="AD14" s="81" t="str">
        <f t="shared" ref="AD14:AD79" si="5">LEFT(C14,4)</f>
        <v>6112</v>
      </c>
      <c r="AG14" s="81"/>
    </row>
    <row r="15" spans="3:33" s="1220" customFormat="1" ht="15" customHeight="1" x14ac:dyDescent="0.25">
      <c r="C15" s="1210">
        <v>611200.39099999995</v>
      </c>
      <c r="D15" s="689" t="s">
        <v>561</v>
      </c>
      <c r="E15" s="667">
        <v>52000</v>
      </c>
      <c r="F15" s="667">
        <v>43390</v>
      </c>
      <c r="G15" s="667">
        <f>F15/11</f>
        <v>3944.5454545454545</v>
      </c>
      <c r="H15" s="667">
        <f t="shared" si="3"/>
        <v>47334.545454545456</v>
      </c>
      <c r="I15" s="667">
        <f>F15*2</f>
        <v>86780</v>
      </c>
      <c r="J15" s="667">
        <f>16468+X15</f>
        <v>24702</v>
      </c>
      <c r="K15" s="667">
        <v>86780</v>
      </c>
      <c r="L15" s="1221"/>
      <c r="M15" s="1221"/>
      <c r="N15" s="1221"/>
      <c r="O15" s="1221"/>
      <c r="P15" s="608">
        <f>31039+5000</f>
        <v>36039</v>
      </c>
      <c r="Q15" s="608">
        <v>51624</v>
      </c>
      <c r="R15" s="667">
        <v>52000</v>
      </c>
      <c r="S15" s="667">
        <v>52000</v>
      </c>
      <c r="W15" s="667">
        <v>86780</v>
      </c>
      <c r="X15" s="961">
        <f>4117+4117</f>
        <v>8234</v>
      </c>
      <c r="Y15" s="81">
        <v>86780</v>
      </c>
      <c r="Z15" s="1212"/>
      <c r="AA15" s="1213"/>
      <c r="AB15" s="1213"/>
      <c r="AC15" s="1212">
        <f t="shared" si="4"/>
        <v>0</v>
      </c>
      <c r="AD15" s="81"/>
      <c r="AG15" s="1213"/>
    </row>
    <row r="16" spans="3:33" ht="15.6" customHeight="1" x14ac:dyDescent="0.25">
      <c r="C16" s="1215">
        <v>612000.11</v>
      </c>
      <c r="D16" s="1216" t="s">
        <v>562</v>
      </c>
      <c r="E16" s="1217">
        <f>מוניצ!I9</f>
        <v>193316</v>
      </c>
      <c r="F16" s="1217">
        <v>171287</v>
      </c>
      <c r="G16" s="1217">
        <f>F16/10*2</f>
        <v>34257.4</v>
      </c>
      <c r="H16" s="1217">
        <f t="shared" si="3"/>
        <v>205544.4</v>
      </c>
      <c r="I16" s="1222">
        <v>210000</v>
      </c>
      <c r="J16" s="1217">
        <v>114632</v>
      </c>
      <c r="K16" s="1217">
        <f>מוניצ!K9</f>
        <v>289166.66666666669</v>
      </c>
      <c r="P16" s="1217">
        <f>שכר!AG7</f>
        <v>166031.94</v>
      </c>
      <c r="Q16" s="1217">
        <v>249141</v>
      </c>
      <c r="R16" s="1217">
        <f>שכר!AM7</f>
        <v>360000</v>
      </c>
      <c r="S16" s="1217">
        <f>R16*1.02</f>
        <v>367200</v>
      </c>
      <c r="W16" s="1217">
        <f>מוניצ!AH9</f>
        <v>0</v>
      </c>
      <c r="X16" s="961"/>
      <c r="Y16" s="81"/>
      <c r="Z16" s="81"/>
      <c r="AA16" s="81"/>
      <c r="AB16" s="81"/>
      <c r="AC16" s="1212">
        <f>K16-I16</f>
        <v>79166.666666666686</v>
      </c>
      <c r="AD16" s="81" t="str">
        <f t="shared" si="5"/>
        <v>6120</v>
      </c>
      <c r="AG16" s="81"/>
    </row>
    <row r="17" spans="3:33" ht="15.6" customHeight="1" x14ac:dyDescent="0.25">
      <c r="C17" s="1210">
        <v>612000.78</v>
      </c>
      <c r="D17" s="689" t="s">
        <v>563</v>
      </c>
      <c r="E17" s="667">
        <v>1100</v>
      </c>
      <c r="F17" s="667">
        <v>1100</v>
      </c>
      <c r="G17" s="667">
        <f>F17/11</f>
        <v>100</v>
      </c>
      <c r="H17" s="667">
        <f t="shared" si="3"/>
        <v>1200</v>
      </c>
      <c r="I17" s="667">
        <v>2000</v>
      </c>
      <c r="J17" s="667">
        <v>0</v>
      </c>
      <c r="K17" s="667">
        <v>2000</v>
      </c>
      <c r="P17" s="608">
        <v>0</v>
      </c>
      <c r="Q17" s="608">
        <v>0</v>
      </c>
      <c r="R17" s="667">
        <v>3000</v>
      </c>
      <c r="S17" s="667">
        <v>3000</v>
      </c>
      <c r="W17" s="1211">
        <v>2000</v>
      </c>
      <c r="X17" s="961"/>
      <c r="Y17" s="81">
        <v>2000</v>
      </c>
      <c r="Z17" s="1212"/>
      <c r="AA17" s="1213"/>
      <c r="AB17" s="1213"/>
      <c r="AC17" s="1212">
        <f t="shared" si="4"/>
        <v>0</v>
      </c>
      <c r="AG17" s="1213"/>
    </row>
    <row r="18" spans="3:33" ht="15.6" customHeight="1" x14ac:dyDescent="0.25">
      <c r="C18" s="1215">
        <v>613000.11</v>
      </c>
      <c r="D18" s="1216" t="s">
        <v>564</v>
      </c>
      <c r="E18" s="1217">
        <f>מוניצ!I12</f>
        <v>459188</v>
      </c>
      <c r="F18" s="1217">
        <v>387007</v>
      </c>
      <c r="G18" s="1217">
        <f>F18/10*2</f>
        <v>77401.399999999994</v>
      </c>
      <c r="H18" s="1217">
        <f t="shared" si="3"/>
        <v>464408.4</v>
      </c>
      <c r="I18" s="1222">
        <v>503250</v>
      </c>
      <c r="J18" s="1217">
        <v>237210</v>
      </c>
      <c r="K18" s="1217">
        <f>מוניצ!K12</f>
        <v>499666.66666666663</v>
      </c>
      <c r="P18" s="1217">
        <f>שכר!AG11</f>
        <v>352762.24</v>
      </c>
      <c r="Q18" s="1217">
        <v>460924</v>
      </c>
      <c r="R18" s="1217">
        <f>שכר!AM11</f>
        <v>540255.71648571419</v>
      </c>
      <c r="S18" s="1217">
        <f>R18*1.02+77509</f>
        <v>628569.83081542852</v>
      </c>
      <c r="W18" s="1217">
        <f>מוניצ!AH12</f>
        <v>0</v>
      </c>
      <c r="X18" s="961"/>
      <c r="Y18" s="81"/>
      <c r="Z18" s="1212"/>
      <c r="AA18" s="1213"/>
      <c r="AB18" s="1213"/>
      <c r="AC18" s="1212">
        <f t="shared" ref="AC18:AC31" si="6">K18-I18</f>
        <v>-3583.3333333333721</v>
      </c>
      <c r="AD18" s="81" t="str">
        <f t="shared" si="5"/>
        <v>6130</v>
      </c>
      <c r="AG18" s="1213"/>
    </row>
    <row r="19" spans="3:33" ht="15.6" customHeight="1" x14ac:dyDescent="0.25">
      <c r="C19" s="1210">
        <v>615000.42000000004</v>
      </c>
      <c r="D19" s="689" t="s">
        <v>3230</v>
      </c>
      <c r="E19" s="667">
        <v>10000</v>
      </c>
      <c r="F19" s="667">
        <v>2726</v>
      </c>
      <c r="G19" s="667">
        <f>F19/11</f>
        <v>247.81818181818181</v>
      </c>
      <c r="H19" s="667">
        <f t="shared" si="3"/>
        <v>2973.818181818182</v>
      </c>
      <c r="I19" s="667">
        <v>10000</v>
      </c>
      <c r="J19" s="667">
        <v>250</v>
      </c>
      <c r="K19" s="667">
        <v>0</v>
      </c>
      <c r="P19" s="608"/>
      <c r="Q19" s="608">
        <v>4975</v>
      </c>
      <c r="R19" s="1223">
        <f>20000+50000</f>
        <v>70000</v>
      </c>
      <c r="S19" s="1223">
        <v>70000</v>
      </c>
      <c r="W19" s="1211">
        <v>10000</v>
      </c>
      <c r="X19" s="961"/>
      <c r="Y19" s="81">
        <v>0</v>
      </c>
      <c r="Z19" s="1212"/>
      <c r="AA19" s="1213"/>
      <c r="AB19" s="1213"/>
      <c r="AC19" s="1212">
        <f t="shared" si="6"/>
        <v>-10000</v>
      </c>
      <c r="AG19" s="1213"/>
    </row>
    <row r="20" spans="3:33" ht="15.6" customHeight="1" x14ac:dyDescent="0.25">
      <c r="C20" s="1210">
        <v>615000.43099999998</v>
      </c>
      <c r="D20" s="689" t="s">
        <v>566</v>
      </c>
      <c r="E20" s="610">
        <v>75000</v>
      </c>
      <c r="F20" s="667">
        <v>55001</v>
      </c>
      <c r="G20" s="667">
        <f>F20/11</f>
        <v>5000.090909090909</v>
      </c>
      <c r="H20" s="667">
        <f t="shared" si="3"/>
        <v>60001.090909090912</v>
      </c>
      <c r="I20" s="667">
        <v>75000</v>
      </c>
      <c r="J20" s="667">
        <v>30208</v>
      </c>
      <c r="K20" s="667">
        <v>75000</v>
      </c>
      <c r="P20" s="608">
        <v>56270</v>
      </c>
      <c r="Q20" s="608">
        <f>69200+62651</f>
        <v>131851</v>
      </c>
      <c r="R20" s="667">
        <v>132000</v>
      </c>
      <c r="S20" s="667">
        <v>132000</v>
      </c>
      <c r="W20" s="667">
        <v>75000</v>
      </c>
      <c r="X20" s="961"/>
      <c r="Y20" s="81">
        <v>75000</v>
      </c>
      <c r="Z20" s="1212"/>
      <c r="AA20" s="81"/>
      <c r="AB20" s="1213"/>
      <c r="AC20" s="1212">
        <f t="shared" si="6"/>
        <v>0</v>
      </c>
      <c r="AG20" s="81"/>
    </row>
    <row r="21" spans="3:33" ht="15.6" customHeight="1" x14ac:dyDescent="0.25">
      <c r="C21" s="1210">
        <v>615000.43200000003</v>
      </c>
      <c r="D21" s="689" t="s">
        <v>567</v>
      </c>
      <c r="E21" s="610">
        <v>35000</v>
      </c>
      <c r="F21" s="667">
        <v>3598</v>
      </c>
      <c r="G21" s="667">
        <f>H21-F21</f>
        <v>31402</v>
      </c>
      <c r="H21" s="667">
        <f>E21</f>
        <v>35000</v>
      </c>
      <c r="I21" s="667">
        <v>35000</v>
      </c>
      <c r="J21" s="667">
        <v>2143</v>
      </c>
      <c r="K21" s="667">
        <v>35000</v>
      </c>
      <c r="P21" s="608">
        <v>4347</v>
      </c>
      <c r="Q21" s="608">
        <v>7650</v>
      </c>
      <c r="R21" s="667">
        <v>10000</v>
      </c>
      <c r="S21" s="667">
        <v>10000</v>
      </c>
      <c r="W21" s="1224">
        <v>35000</v>
      </c>
      <c r="X21" s="961"/>
      <c r="Y21" s="81">
        <v>35000</v>
      </c>
      <c r="Z21" s="1212"/>
      <c r="AA21" s="1213"/>
      <c r="AB21" s="1213"/>
      <c r="AC21" s="1212">
        <f t="shared" si="6"/>
        <v>0</v>
      </c>
      <c r="AG21" s="1213"/>
    </row>
    <row r="22" spans="3:33" ht="15.6" customHeight="1" x14ac:dyDescent="0.25">
      <c r="C22" s="1210">
        <v>615000.47</v>
      </c>
      <c r="D22" s="689" t="s">
        <v>568</v>
      </c>
      <c r="E22" s="667">
        <v>28000</v>
      </c>
      <c r="F22" s="667">
        <v>18767</v>
      </c>
      <c r="G22" s="667">
        <f>F22/11</f>
        <v>1706.090909090909</v>
      </c>
      <c r="H22" s="667">
        <f t="shared" ref="H22:H31" si="7">F22+G22</f>
        <v>20473.090909090908</v>
      </c>
      <c r="I22" s="667">
        <v>28000</v>
      </c>
      <c r="J22" s="667">
        <v>9216</v>
      </c>
      <c r="K22" s="667">
        <v>28000</v>
      </c>
      <c r="P22" s="608">
        <v>14811</v>
      </c>
      <c r="Q22" s="608">
        <v>19883</v>
      </c>
      <c r="R22" s="667">
        <v>20000</v>
      </c>
      <c r="S22" s="667">
        <v>20000</v>
      </c>
      <c r="W22" s="667">
        <v>28000</v>
      </c>
      <c r="X22" s="961"/>
      <c r="Y22" s="81">
        <v>28000</v>
      </c>
      <c r="Z22" s="1212"/>
      <c r="AA22" s="81"/>
      <c r="AB22" s="1213"/>
      <c r="AC22" s="1212">
        <f t="shared" si="6"/>
        <v>0</v>
      </c>
      <c r="AG22" s="81"/>
    </row>
    <row r="23" spans="3:33" ht="15.6" customHeight="1" x14ac:dyDescent="0.25">
      <c r="C23" s="1210">
        <v>615000.48</v>
      </c>
      <c r="D23" s="689" t="s">
        <v>569</v>
      </c>
      <c r="E23" s="667">
        <v>62000</v>
      </c>
      <c r="F23" s="667">
        <v>63307</v>
      </c>
      <c r="G23" s="667">
        <f>F23/11</f>
        <v>5755.181818181818</v>
      </c>
      <c r="H23" s="667">
        <f t="shared" si="7"/>
        <v>69062.181818181823</v>
      </c>
      <c r="I23" s="667">
        <v>62000</v>
      </c>
      <c r="J23" s="667">
        <v>79322</v>
      </c>
      <c r="K23" s="667">
        <v>120000</v>
      </c>
      <c r="P23" s="608">
        <v>106429</v>
      </c>
      <c r="Q23" s="608">
        <v>140553</v>
      </c>
      <c r="R23" s="667">
        <v>141000</v>
      </c>
      <c r="S23" s="667">
        <v>141000</v>
      </c>
      <c r="W23" s="667">
        <v>62000</v>
      </c>
      <c r="X23" s="961"/>
      <c r="Y23" s="81" t="s">
        <v>2034</v>
      </c>
      <c r="Z23" s="81"/>
      <c r="AA23" s="81"/>
      <c r="AB23" s="81"/>
      <c r="AC23" s="1212">
        <f t="shared" si="6"/>
        <v>58000</v>
      </c>
      <c r="AG23" s="81"/>
    </row>
    <row r="24" spans="3:33" ht="15.6" customHeight="1" x14ac:dyDescent="0.25">
      <c r="C24" s="1210">
        <v>615000.54</v>
      </c>
      <c r="D24" s="689" t="s">
        <v>570</v>
      </c>
      <c r="E24" s="667">
        <v>135500</v>
      </c>
      <c r="F24" s="667">
        <v>109122</v>
      </c>
      <c r="G24" s="667">
        <f>F24/11</f>
        <v>9920.181818181818</v>
      </c>
      <c r="H24" s="667">
        <f t="shared" si="7"/>
        <v>119042.18181818182</v>
      </c>
      <c r="I24" s="667">
        <v>135500</v>
      </c>
      <c r="J24" s="667">
        <f>56066+X24</f>
        <v>71813</v>
      </c>
      <c r="K24" s="667">
        <v>135500</v>
      </c>
      <c r="P24" s="608">
        <f>92944+16000</f>
        <v>108944</v>
      </c>
      <c r="Q24" s="608">
        <v>129705</v>
      </c>
      <c r="R24" s="667">
        <v>130000</v>
      </c>
      <c r="S24" s="667">
        <v>130000</v>
      </c>
      <c r="W24" s="667">
        <v>135500</v>
      </c>
      <c r="X24" s="961">
        <v>15747</v>
      </c>
      <c r="Y24" s="81">
        <v>135500</v>
      </c>
      <c r="Z24" s="1212"/>
      <c r="AA24" s="1213"/>
      <c r="AB24" s="1213"/>
      <c r="AC24" s="1212">
        <f t="shared" si="6"/>
        <v>0</v>
      </c>
      <c r="AG24" s="1213"/>
    </row>
    <row r="25" spans="3:33" ht="15.6" customHeight="1" x14ac:dyDescent="0.25">
      <c r="C25" s="1210"/>
      <c r="D25" s="689"/>
      <c r="E25" s="667"/>
      <c r="F25" s="667"/>
      <c r="G25" s="667"/>
      <c r="H25" s="667"/>
      <c r="I25" s="667"/>
      <c r="J25" s="667"/>
      <c r="K25" s="667"/>
      <c r="P25" s="608"/>
      <c r="Q25" s="608"/>
      <c r="R25" s="667"/>
      <c r="S25" s="667"/>
      <c r="W25" s="1224">
        <v>348000</v>
      </c>
      <c r="X25" s="961">
        <v>25000</v>
      </c>
      <c r="Y25" s="81">
        <v>348000</v>
      </c>
      <c r="Z25" s="1212"/>
      <c r="AA25" s="1213"/>
      <c r="AB25" s="1213"/>
      <c r="AC25" s="1212">
        <f t="shared" si="6"/>
        <v>0</v>
      </c>
      <c r="AG25" s="1213"/>
    </row>
    <row r="26" spans="3:33" ht="15.6" customHeight="1" x14ac:dyDescent="0.25">
      <c r="C26" s="1215">
        <v>615000.11</v>
      </c>
      <c r="D26" s="1216" t="s">
        <v>573</v>
      </c>
      <c r="E26" s="1217">
        <f>מוניצ!I21</f>
        <v>544112</v>
      </c>
      <c r="F26" s="1217">
        <v>461529</v>
      </c>
      <c r="G26" s="1217">
        <f>F26/10*2</f>
        <v>92305.8</v>
      </c>
      <c r="H26" s="1217">
        <f t="shared" si="7"/>
        <v>553834.80000000005</v>
      </c>
      <c r="I26" s="1222">
        <v>665155</v>
      </c>
      <c r="J26" s="1217">
        <v>283697</v>
      </c>
      <c r="K26" s="1217">
        <f>מוניצ!K21</f>
        <v>539000</v>
      </c>
      <c r="P26" s="1217">
        <f>שכר!AG23</f>
        <v>424339.58000000007</v>
      </c>
      <c r="Q26" s="1217">
        <v>555854</v>
      </c>
      <c r="R26" s="1217">
        <f>שכר!AM23</f>
        <v>567705.1128</v>
      </c>
      <c r="S26" s="1217">
        <f>1.02*R26</f>
        <v>579059.21505600004</v>
      </c>
      <c r="W26" s="1217">
        <f>מוניצ!AH21</f>
        <v>0</v>
      </c>
      <c r="X26" s="961"/>
      <c r="Y26" s="81"/>
      <c r="Z26" s="1212"/>
      <c r="AA26" s="1213"/>
      <c r="AB26" s="1213"/>
      <c r="AC26" s="1212">
        <f t="shared" si="6"/>
        <v>-126155</v>
      </c>
      <c r="AD26" s="81" t="str">
        <f t="shared" si="5"/>
        <v>6150</v>
      </c>
      <c r="AG26" s="1213"/>
    </row>
    <row r="27" spans="3:33" ht="15.6" customHeight="1" x14ac:dyDescent="0.25">
      <c r="C27" s="1215">
        <v>615100.11</v>
      </c>
      <c r="D27" s="1216" t="s">
        <v>574</v>
      </c>
      <c r="E27" s="1217">
        <f>מוניצ!I24</f>
        <v>151236</v>
      </c>
      <c r="F27" s="1217">
        <v>126605</v>
      </c>
      <c r="G27" s="1217">
        <f>F27/10*2</f>
        <v>25321</v>
      </c>
      <c r="H27" s="1217">
        <f t="shared" si="7"/>
        <v>151926</v>
      </c>
      <c r="I27" s="1222">
        <v>155000</v>
      </c>
      <c r="J27" s="1217">
        <v>81526</v>
      </c>
      <c r="K27" s="1217">
        <f>מוניצ!K24</f>
        <v>153000</v>
      </c>
      <c r="P27" s="1217">
        <f>שכר!AG26</f>
        <v>146591.09000000003</v>
      </c>
      <c r="Q27" s="1217">
        <v>171169</v>
      </c>
      <c r="R27" s="1217">
        <f>שכר!AM26</f>
        <v>93885.502200000003</v>
      </c>
      <c r="S27" s="1217">
        <f>1.02*R27</f>
        <v>95763.212244000009</v>
      </c>
      <c r="T27" s="1217" t="e">
        <f>שכר!#REF!</f>
        <v>#REF!</v>
      </c>
      <c r="U27" s="1217" t="e">
        <f>שכר!#REF!</f>
        <v>#REF!</v>
      </c>
      <c r="V27" s="1217" t="e">
        <f>שכר!#REF!</f>
        <v>#REF!</v>
      </c>
      <c r="W27" s="1217" t="e">
        <f>שכר!#REF!</f>
        <v>#REF!</v>
      </c>
      <c r="X27" s="1217" t="e">
        <f>שכר!#REF!</f>
        <v>#REF!</v>
      </c>
      <c r="Y27" s="1217" t="e">
        <f>שכר!#REF!</f>
        <v>#REF!</v>
      </c>
      <c r="Z27" s="1217" t="e">
        <f>שכר!#REF!</f>
        <v>#REF!</v>
      </c>
      <c r="AA27" s="1217" t="e">
        <f>שכר!#REF!</f>
        <v>#REF!</v>
      </c>
      <c r="AB27" s="1217" t="e">
        <f>שכר!#REF!</f>
        <v>#REF!</v>
      </c>
      <c r="AC27" s="1217" t="e">
        <f>שכר!#REF!</f>
        <v>#REF!</v>
      </c>
      <c r="AD27" s="81" t="str">
        <f t="shared" si="5"/>
        <v>6151</v>
      </c>
      <c r="AG27" s="1213"/>
    </row>
    <row r="28" spans="3:33" ht="15.6" customHeight="1" x14ac:dyDescent="0.25">
      <c r="C28" s="1210">
        <v>617000.58100000001</v>
      </c>
      <c r="D28" s="689" t="s">
        <v>575</v>
      </c>
      <c r="E28" s="667">
        <v>132000</v>
      </c>
      <c r="F28" s="667">
        <v>128094</v>
      </c>
      <c r="G28" s="667">
        <f>F28/11</f>
        <v>11644.90909090909</v>
      </c>
      <c r="H28" s="667">
        <f t="shared" si="7"/>
        <v>139738.90909090909</v>
      </c>
      <c r="I28" s="667">
        <v>132000</v>
      </c>
      <c r="J28" s="667">
        <v>100386</v>
      </c>
      <c r="K28" s="667">
        <v>150000</v>
      </c>
      <c r="L28" s="1209"/>
      <c r="M28" s="1209"/>
      <c r="N28" s="1209"/>
      <c r="O28" s="1209"/>
      <c r="P28" s="608">
        <v>132330</v>
      </c>
      <c r="Q28" s="608">
        <v>145286</v>
      </c>
      <c r="R28" s="667">
        <v>100000</v>
      </c>
      <c r="S28" s="667">
        <v>150000</v>
      </c>
      <c r="W28" s="667">
        <v>132000</v>
      </c>
      <c r="X28" s="961"/>
      <c r="Y28" s="81" t="s">
        <v>2034</v>
      </c>
      <c r="Z28" s="1212"/>
      <c r="AA28" s="1213"/>
      <c r="AB28" s="1213"/>
      <c r="AC28" s="1212">
        <f t="shared" si="6"/>
        <v>18000</v>
      </c>
      <c r="AG28" s="1213"/>
    </row>
    <row r="29" spans="3:33" ht="15.6" customHeight="1" x14ac:dyDescent="0.25">
      <c r="C29" s="1210">
        <v>617000.75</v>
      </c>
      <c r="D29" s="689" t="s">
        <v>576</v>
      </c>
      <c r="E29" s="667">
        <f>28080*12+40000</f>
        <v>376960</v>
      </c>
      <c r="F29" s="667">
        <v>325260</v>
      </c>
      <c r="G29" s="667">
        <f>F29/11</f>
        <v>29569.090909090908</v>
      </c>
      <c r="H29" s="667">
        <f t="shared" si="7"/>
        <v>354829.09090909088</v>
      </c>
      <c r="I29" s="667">
        <f>376000-22000</f>
        <v>354000</v>
      </c>
      <c r="J29" s="667">
        <v>192998</v>
      </c>
      <c r="K29" s="667">
        <v>409558</v>
      </c>
      <c r="P29" s="608">
        <v>305318</v>
      </c>
      <c r="Q29" s="608">
        <v>403558</v>
      </c>
      <c r="R29" s="667">
        <f>28000*12</f>
        <v>336000</v>
      </c>
      <c r="S29" s="667">
        <f>28000*12</f>
        <v>336000</v>
      </c>
      <c r="W29" s="667">
        <f>376000-22000</f>
        <v>354000</v>
      </c>
      <c r="X29" s="961"/>
      <c r="Y29" s="81">
        <f>28080*12+52598+20000</f>
        <v>409558</v>
      </c>
      <c r="Z29" s="1212"/>
      <c r="AA29" s="1213"/>
      <c r="AB29" s="1213"/>
      <c r="AC29" s="1212">
        <f t="shared" si="6"/>
        <v>55558</v>
      </c>
      <c r="AG29" s="1213"/>
    </row>
    <row r="30" spans="3:33" ht="15.6" customHeight="1" x14ac:dyDescent="0.25">
      <c r="C30" s="1210">
        <v>617000.75100000005</v>
      </c>
      <c r="D30" s="689" t="s">
        <v>577</v>
      </c>
      <c r="E30" s="667">
        <v>0</v>
      </c>
      <c r="F30" s="667">
        <v>0</v>
      </c>
      <c r="G30" s="667">
        <f>F30/11</f>
        <v>0</v>
      </c>
      <c r="H30" s="667">
        <f t="shared" si="7"/>
        <v>0</v>
      </c>
      <c r="I30" s="667">
        <f>3500*6+1500*6</f>
        <v>30000</v>
      </c>
      <c r="J30" s="667">
        <v>0</v>
      </c>
      <c r="K30" s="667">
        <v>60000</v>
      </c>
      <c r="P30" s="608">
        <v>5250</v>
      </c>
      <c r="Q30" s="608">
        <v>0</v>
      </c>
      <c r="R30" s="1225">
        <v>42000</v>
      </c>
      <c r="S30" s="1225">
        <v>42000</v>
      </c>
      <c r="W30" s="667">
        <v>60000</v>
      </c>
      <c r="X30" s="961"/>
      <c r="Y30" s="81">
        <v>60000</v>
      </c>
      <c r="Z30" s="1212"/>
      <c r="AA30" s="1213"/>
      <c r="AB30" s="1213"/>
      <c r="AC30" s="1212">
        <f t="shared" si="6"/>
        <v>30000</v>
      </c>
      <c r="AG30" s="1213"/>
    </row>
    <row r="31" spans="3:33" ht="15.6" customHeight="1" x14ac:dyDescent="0.25">
      <c r="C31" s="1210">
        <v>617000.75199999998</v>
      </c>
      <c r="D31" s="689" t="s">
        <v>578</v>
      </c>
      <c r="E31" s="667">
        <v>0</v>
      </c>
      <c r="F31" s="667">
        <v>0</v>
      </c>
      <c r="G31" s="667">
        <f>F31/11</f>
        <v>0</v>
      </c>
      <c r="H31" s="667">
        <f t="shared" si="7"/>
        <v>0</v>
      </c>
      <c r="I31" s="667">
        <v>40000</v>
      </c>
      <c r="J31" s="667">
        <v>34882</v>
      </c>
      <c r="K31" s="667">
        <v>70000</v>
      </c>
      <c r="L31" s="1201" t="s">
        <v>579</v>
      </c>
      <c r="P31" s="608">
        <v>44585</v>
      </c>
      <c r="Q31" s="608">
        <v>44106</v>
      </c>
      <c r="R31" s="608">
        <v>60000</v>
      </c>
      <c r="S31" s="608">
        <v>60000</v>
      </c>
      <c r="W31" s="667">
        <v>40000</v>
      </c>
      <c r="X31" s="961"/>
      <c r="Y31" s="81">
        <v>70000</v>
      </c>
      <c r="Z31" s="1212"/>
      <c r="AA31" s="1213"/>
      <c r="AB31" s="1213"/>
      <c r="AC31" s="1212">
        <f t="shared" si="6"/>
        <v>30000</v>
      </c>
      <c r="AG31" s="1213"/>
    </row>
    <row r="32" spans="3:33" ht="15.6" customHeight="1" x14ac:dyDescent="0.25">
      <c r="C32" s="1210">
        <v>617000.75300000003</v>
      </c>
      <c r="D32" s="689" t="s">
        <v>3218</v>
      </c>
      <c r="E32" s="667"/>
      <c r="F32" s="667"/>
      <c r="G32" s="667"/>
      <c r="H32" s="667"/>
      <c r="I32" s="667"/>
      <c r="J32" s="667"/>
      <c r="K32" s="667"/>
      <c r="P32" s="608"/>
      <c r="Q32" s="608">
        <v>0</v>
      </c>
      <c r="R32" s="608">
        <v>250000</v>
      </c>
      <c r="S32" s="608">
        <v>250000</v>
      </c>
      <c r="W32" s="667"/>
      <c r="X32" s="961"/>
      <c r="Y32" s="81"/>
      <c r="Z32" s="1212"/>
      <c r="AA32" s="1213"/>
      <c r="AB32" s="1213"/>
      <c r="AC32" s="1212"/>
      <c r="AG32" s="1213"/>
    </row>
    <row r="33" spans="3:33" ht="15.6" customHeight="1" x14ac:dyDescent="0.25">
      <c r="C33" s="1210">
        <v>617300.75</v>
      </c>
      <c r="D33" s="689" t="s">
        <v>3220</v>
      </c>
      <c r="E33" s="667"/>
      <c r="F33" s="667"/>
      <c r="G33" s="667"/>
      <c r="H33" s="667"/>
      <c r="I33" s="667"/>
      <c r="J33" s="667"/>
      <c r="K33" s="667"/>
      <c r="P33" s="608"/>
      <c r="Q33" s="608"/>
      <c r="R33" s="608"/>
      <c r="S33" s="608"/>
      <c r="W33" s="667"/>
      <c r="X33" s="961"/>
      <c r="Y33" s="81"/>
      <c r="Z33" s="1212"/>
      <c r="AA33" s="1213"/>
      <c r="AB33" s="1213"/>
      <c r="AC33" s="1212"/>
      <c r="AG33" s="1213"/>
    </row>
    <row r="34" spans="3:33" ht="15.6" customHeight="1" x14ac:dyDescent="0.25">
      <c r="C34" s="1210">
        <v>619000.69999999995</v>
      </c>
      <c r="D34" s="689" t="s">
        <v>2071</v>
      </c>
      <c r="E34" s="667"/>
      <c r="F34" s="667"/>
      <c r="G34" s="667"/>
      <c r="H34" s="667"/>
      <c r="I34" s="667"/>
      <c r="J34" s="667"/>
      <c r="K34" s="667"/>
      <c r="P34" s="608"/>
      <c r="Q34" s="608">
        <f>P34/9*12</f>
        <v>0</v>
      </c>
      <c r="R34" s="667">
        <v>300000</v>
      </c>
      <c r="S34" s="667">
        <v>0</v>
      </c>
      <c r="W34" s="1211"/>
      <c r="X34" s="961"/>
      <c r="Y34" s="81"/>
      <c r="Z34" s="1212"/>
      <c r="AA34" s="1213"/>
      <c r="AB34" s="1213"/>
      <c r="AC34" s="1212"/>
      <c r="AG34" s="1213"/>
    </row>
    <row r="35" spans="3:33" s="1226" customFormat="1" ht="15.6" customHeight="1" x14ac:dyDescent="0.25">
      <c r="C35" s="1227" t="s">
        <v>580</v>
      </c>
      <c r="D35" s="1228" t="s">
        <v>581</v>
      </c>
      <c r="E35" s="1229">
        <f t="shared" ref="E35:P35" si="8">SUM(E3:E31)</f>
        <v>3544258</v>
      </c>
      <c r="F35" s="1229">
        <f t="shared" si="8"/>
        <v>2933939</v>
      </c>
      <c r="G35" s="1229">
        <f t="shared" si="8"/>
        <v>584277.90909090906</v>
      </c>
      <c r="H35" s="1229">
        <f t="shared" si="8"/>
        <v>3518216.9090909082</v>
      </c>
      <c r="I35" s="1229">
        <f t="shared" si="8"/>
        <v>3828780</v>
      </c>
      <c r="J35" s="1229">
        <f t="shared" si="8"/>
        <v>1842316</v>
      </c>
      <c r="K35" s="1229">
        <f t="shared" si="8"/>
        <v>4002771.3333333335</v>
      </c>
      <c r="L35" s="1229">
        <f t="shared" si="8"/>
        <v>0</v>
      </c>
      <c r="M35" s="1229">
        <f t="shared" si="8"/>
        <v>0</v>
      </c>
      <c r="N35" s="1229">
        <f t="shared" si="8"/>
        <v>0</v>
      </c>
      <c r="O35" s="1229">
        <f t="shared" si="8"/>
        <v>0</v>
      </c>
      <c r="P35" s="1229">
        <f t="shared" si="8"/>
        <v>2755619.19</v>
      </c>
      <c r="Q35" s="1229">
        <f>SUM(Q3:Q32)</f>
        <v>3623901.7</v>
      </c>
      <c r="R35" s="1229">
        <f>SUM(R3:R34)</f>
        <v>4513796.1452857144</v>
      </c>
      <c r="S35" s="1229">
        <f>SUM(S3:S31)</f>
        <v>4140321.0681914282</v>
      </c>
      <c r="T35" s="1229" t="e">
        <f t="shared" ref="T35:AC35" si="9">SUM(T3:T31)</f>
        <v>#REF!</v>
      </c>
      <c r="U35" s="1229" t="e">
        <f t="shared" si="9"/>
        <v>#REF!</v>
      </c>
      <c r="V35" s="1229" t="e">
        <f t="shared" si="9"/>
        <v>#REF!</v>
      </c>
      <c r="W35" s="1229" t="e">
        <f t="shared" si="9"/>
        <v>#REF!</v>
      </c>
      <c r="X35" s="1229" t="e">
        <f t="shared" si="9"/>
        <v>#REF!</v>
      </c>
      <c r="Y35" s="1229" t="e">
        <f t="shared" si="9"/>
        <v>#REF!</v>
      </c>
      <c r="Z35" s="1229" t="e">
        <f t="shared" si="9"/>
        <v>#REF!</v>
      </c>
      <c r="AA35" s="1229" t="e">
        <f t="shared" si="9"/>
        <v>#REF!</v>
      </c>
      <c r="AB35" s="1229" t="e">
        <f t="shared" si="9"/>
        <v>#REF!</v>
      </c>
      <c r="AC35" s="1229" t="e">
        <f t="shared" si="9"/>
        <v>#REF!</v>
      </c>
      <c r="AD35" s="81" t="str">
        <f t="shared" si="5"/>
        <v>סה"כ</v>
      </c>
      <c r="AG35" s="1213"/>
    </row>
    <row r="36" spans="3:33" s="1230" customFormat="1" ht="15.6" customHeight="1" x14ac:dyDescent="0.25">
      <c r="C36" s="1231"/>
      <c r="D36" s="1232"/>
      <c r="E36" s="667"/>
      <c r="F36" s="604"/>
      <c r="G36" s="667">
        <f>F36/9*3</f>
        <v>0</v>
      </c>
      <c r="H36" s="667"/>
      <c r="I36" s="667"/>
      <c r="J36" s="667"/>
      <c r="K36" s="667"/>
      <c r="P36" s="1233"/>
      <c r="Q36" s="1233"/>
      <c r="R36" s="1233"/>
      <c r="S36" s="1233"/>
      <c r="W36" s="667"/>
      <c r="X36" s="961"/>
      <c r="Y36" s="81"/>
      <c r="Z36" s="1212"/>
      <c r="AA36" s="1213"/>
      <c r="AB36" s="1213"/>
      <c r="AC36" s="1212">
        <f t="shared" si="4"/>
        <v>0</v>
      </c>
      <c r="AD36" s="81" t="str">
        <f t="shared" si="5"/>
        <v/>
      </c>
      <c r="AG36" s="1213"/>
    </row>
    <row r="37" spans="3:33" s="1230" customFormat="1" ht="15.6" customHeight="1" x14ac:dyDescent="0.25">
      <c r="C37" s="1215">
        <v>621000.11</v>
      </c>
      <c r="D37" s="1216" t="s">
        <v>582</v>
      </c>
      <c r="E37" s="1217">
        <f>מוניצ!I27</f>
        <v>318432</v>
      </c>
      <c r="F37" s="1217">
        <v>268522</v>
      </c>
      <c r="G37" s="1217">
        <f>F37/10*2</f>
        <v>53704.4</v>
      </c>
      <c r="H37" s="1217">
        <f t="shared" ref="H37:H50" si="10">F37+G37</f>
        <v>322226.40000000002</v>
      </c>
      <c r="I37" s="1222">
        <v>388600</v>
      </c>
      <c r="J37" s="1217">
        <v>161313</v>
      </c>
      <c r="K37" s="1217">
        <f>מוניצ!K27</f>
        <v>406666.66666666669</v>
      </c>
      <c r="P37" s="1217">
        <f>שכר!AG28</f>
        <v>235938.94</v>
      </c>
      <c r="Q37" s="1217">
        <v>308768</v>
      </c>
      <c r="R37" s="1217">
        <f>שכר!AM28</f>
        <v>404815.96309523814</v>
      </c>
      <c r="S37" s="1217">
        <v>500500</v>
      </c>
      <c r="W37" s="1217">
        <f>מוניצ!AH27</f>
        <v>0</v>
      </c>
      <c r="X37" s="961"/>
      <c r="Y37" s="81"/>
      <c r="Z37" s="81"/>
      <c r="AA37" s="81"/>
      <c r="AB37" s="81"/>
      <c r="AC37" s="1212">
        <f t="shared" si="4"/>
        <v>18066.666666666686</v>
      </c>
      <c r="AD37" s="81" t="str">
        <f t="shared" si="5"/>
        <v>6210</v>
      </c>
      <c r="AG37" s="81"/>
    </row>
    <row r="38" spans="3:33" s="1230" customFormat="1" ht="15.6" customHeight="1" x14ac:dyDescent="0.25">
      <c r="C38" s="1210">
        <v>621000.47</v>
      </c>
      <c r="D38" s="689" t="s">
        <v>583</v>
      </c>
      <c r="E38" s="667">
        <v>5000</v>
      </c>
      <c r="F38" s="667">
        <v>3600</v>
      </c>
      <c r="G38" s="667">
        <f>F38/11</f>
        <v>327.27272727272725</v>
      </c>
      <c r="H38" s="667">
        <f t="shared" si="10"/>
        <v>3927.272727272727</v>
      </c>
      <c r="I38" s="667">
        <v>5000</v>
      </c>
      <c r="J38" s="667">
        <v>0</v>
      </c>
      <c r="K38" s="667">
        <v>5000</v>
      </c>
      <c r="P38" s="608">
        <v>1500</v>
      </c>
      <c r="Q38" s="608">
        <v>1500</v>
      </c>
      <c r="R38" s="667">
        <v>5000</v>
      </c>
      <c r="S38" s="667">
        <v>5000</v>
      </c>
      <c r="W38" s="667">
        <v>5000</v>
      </c>
      <c r="X38" s="961"/>
      <c r="Y38" s="81">
        <v>5000</v>
      </c>
      <c r="Z38" s="1212"/>
      <c r="AA38" s="81"/>
      <c r="AB38" s="1213"/>
      <c r="AC38" s="1212">
        <f t="shared" si="4"/>
        <v>0</v>
      </c>
      <c r="AD38" s="81"/>
      <c r="AG38" s="81"/>
    </row>
    <row r="39" spans="3:33" s="1230" customFormat="1" ht="15.6" customHeight="1" x14ac:dyDescent="0.25">
      <c r="C39" s="1210">
        <v>621000.75</v>
      </c>
      <c r="D39" s="689" t="s">
        <v>1773</v>
      </c>
      <c r="E39" s="667">
        <f>20000*1.17*12</f>
        <v>280800</v>
      </c>
      <c r="F39" s="667">
        <v>257400</v>
      </c>
      <c r="G39" s="667">
        <f>F39/11</f>
        <v>23400</v>
      </c>
      <c r="H39" s="667">
        <f t="shared" si="10"/>
        <v>280800</v>
      </c>
      <c r="I39" s="610">
        <v>540540</v>
      </c>
      <c r="J39" s="667">
        <v>141550</v>
      </c>
      <c r="K39" s="667">
        <v>340350</v>
      </c>
      <c r="L39" s="1230" t="s">
        <v>584</v>
      </c>
      <c r="P39" s="608">
        <v>266700</v>
      </c>
      <c r="Q39" s="608">
        <v>322900</v>
      </c>
      <c r="R39" s="608">
        <v>364800</v>
      </c>
      <c r="S39" s="608">
        <v>364800</v>
      </c>
      <c r="W39" s="667">
        <v>364920</v>
      </c>
      <c r="X39" s="961"/>
      <c r="Y39" s="81">
        <f>23400*6+30400*6+17550</f>
        <v>340350</v>
      </c>
      <c r="Z39" s="1212"/>
      <c r="AA39" s="1213"/>
      <c r="AB39" s="1213"/>
      <c r="AC39" s="1212">
        <f t="shared" si="4"/>
        <v>-200190</v>
      </c>
      <c r="AD39" s="81"/>
      <c r="AG39" s="1213"/>
    </row>
    <row r="40" spans="3:33" s="1230" customFormat="1" ht="15.6" customHeight="1" x14ac:dyDescent="0.25">
      <c r="C40" s="1215">
        <v>621500.11</v>
      </c>
      <c r="D40" s="1216" t="s">
        <v>585</v>
      </c>
      <c r="E40" s="1217">
        <f>מוניצ!I29</f>
        <v>177357</v>
      </c>
      <c r="F40" s="1217">
        <v>150301</v>
      </c>
      <c r="G40" s="1217">
        <f>F40/10*2</f>
        <v>30060.2</v>
      </c>
      <c r="H40" s="1217">
        <f t="shared" si="10"/>
        <v>180361.2</v>
      </c>
      <c r="I40" s="1222">
        <v>0</v>
      </c>
      <c r="J40" s="1217">
        <v>94114</v>
      </c>
      <c r="K40" s="1217">
        <f>מוניצ!K29</f>
        <v>178000</v>
      </c>
      <c r="L40" s="1230" t="s">
        <v>586</v>
      </c>
      <c r="P40" s="1217">
        <f>שכר!AG30</f>
        <v>146084.85999999999</v>
      </c>
      <c r="Q40" s="1217">
        <v>189294</v>
      </c>
      <c r="R40" s="1217">
        <f>שכר!AM30</f>
        <v>211752.3774</v>
      </c>
      <c r="S40" s="1217">
        <f>R40*1.02</f>
        <v>215987.424948</v>
      </c>
      <c r="W40" s="1217">
        <f>מוניצ!AH29</f>
        <v>0</v>
      </c>
      <c r="X40" s="961"/>
      <c r="Y40" s="81"/>
      <c r="Z40" s="1212"/>
      <c r="AA40" s="1213"/>
      <c r="AB40" s="1213"/>
      <c r="AC40" s="1212">
        <f t="shared" si="4"/>
        <v>178000</v>
      </c>
      <c r="AD40" s="81" t="str">
        <f t="shared" si="5"/>
        <v>6215</v>
      </c>
      <c r="AG40" s="1213"/>
    </row>
    <row r="41" spans="3:33" s="1230" customFormat="1" ht="15.6" customHeight="1" x14ac:dyDescent="0.25">
      <c r="C41" s="1210">
        <v>621000.56999999995</v>
      </c>
      <c r="D41" s="689" t="s">
        <v>571</v>
      </c>
      <c r="E41" s="667">
        <v>348000</v>
      </c>
      <c r="F41" s="667">
        <v>342140</v>
      </c>
      <c r="G41" s="667">
        <f>F41/11</f>
        <v>31103.636363636364</v>
      </c>
      <c r="H41" s="667">
        <f t="shared" si="10"/>
        <v>373243.63636363635</v>
      </c>
      <c r="I41" s="667">
        <v>348000</v>
      </c>
      <c r="J41" s="667">
        <f>126522+X41</f>
        <v>126522</v>
      </c>
      <c r="K41" s="667">
        <v>348000</v>
      </c>
      <c r="L41" s="1201" t="s">
        <v>572</v>
      </c>
      <c r="M41" s="1201"/>
      <c r="N41" s="1201"/>
      <c r="O41" s="1201"/>
      <c r="P41" s="608">
        <v>208574</v>
      </c>
      <c r="Q41" s="608">
        <v>331712</v>
      </c>
      <c r="R41" s="667">
        <v>348000</v>
      </c>
      <c r="S41" s="667">
        <v>348000</v>
      </c>
      <c r="W41" s="1217"/>
      <c r="X41" s="961"/>
      <c r="Y41" s="81"/>
      <c r="Z41" s="1212"/>
      <c r="AA41" s="1213"/>
      <c r="AB41" s="1213"/>
      <c r="AC41" s="1212"/>
      <c r="AD41" s="81"/>
      <c r="AG41" s="1213"/>
    </row>
    <row r="42" spans="3:33" s="1230" customFormat="1" ht="15.6" customHeight="1" x14ac:dyDescent="0.25">
      <c r="C42" s="1215">
        <v>623000.11</v>
      </c>
      <c r="D42" s="1216" t="s">
        <v>587</v>
      </c>
      <c r="E42" s="1217">
        <f>מוניצ!I34</f>
        <v>336765</v>
      </c>
      <c r="F42" s="1217">
        <v>283342</v>
      </c>
      <c r="G42" s="1217">
        <f>F42/10*2</f>
        <v>56668.4</v>
      </c>
      <c r="H42" s="1217">
        <f t="shared" si="10"/>
        <v>340010.4</v>
      </c>
      <c r="I42" s="1222">
        <v>436188</v>
      </c>
      <c r="J42" s="1217">
        <v>189675</v>
      </c>
      <c r="K42" s="1217">
        <f>מוניצ!K34</f>
        <v>328312.41666666669</v>
      </c>
      <c r="P42" s="1217">
        <f>שכר!AG35</f>
        <v>275086.24</v>
      </c>
      <c r="Q42" s="1217">
        <v>351415</v>
      </c>
      <c r="R42" s="1217">
        <f>שכר!AM35</f>
        <v>359129.10720000003</v>
      </c>
      <c r="S42" s="1217">
        <f>R42*1.02</f>
        <v>366311.68934400001</v>
      </c>
      <c r="W42" s="1217">
        <f>מוניצ!AH34</f>
        <v>0</v>
      </c>
      <c r="X42" s="961"/>
      <c r="Y42" s="81"/>
      <c r="Z42" s="1212"/>
      <c r="AA42" s="81"/>
      <c r="AB42" s="1213"/>
      <c r="AC42" s="1212">
        <f t="shared" si="4"/>
        <v>-107875.58333333331</v>
      </c>
      <c r="AD42" s="81" t="str">
        <f t="shared" si="5"/>
        <v>6230</v>
      </c>
      <c r="AG42" s="81"/>
    </row>
    <row r="43" spans="3:33" s="1230" customFormat="1" ht="15.6" customHeight="1" x14ac:dyDescent="0.25">
      <c r="C43" s="1210">
        <v>623000.42000000004</v>
      </c>
      <c r="D43" s="689" t="s">
        <v>588</v>
      </c>
      <c r="E43" s="610">
        <f>2500*12</f>
        <v>30000</v>
      </c>
      <c r="F43" s="667">
        <v>27500</v>
      </c>
      <c r="G43" s="667">
        <f>F43/11</f>
        <v>2500</v>
      </c>
      <c r="H43" s="667">
        <f t="shared" si="10"/>
        <v>30000</v>
      </c>
      <c r="I43" s="610">
        <v>30000</v>
      </c>
      <c r="J43" s="610">
        <v>15000</v>
      </c>
      <c r="K43" s="610">
        <f>J43*2</f>
        <v>30000</v>
      </c>
      <c r="P43" s="608">
        <v>22500</v>
      </c>
      <c r="Q43" s="608">
        <f>P43/9*12</f>
        <v>30000</v>
      </c>
      <c r="R43" s="1234">
        <v>30000</v>
      </c>
      <c r="S43" s="1234">
        <v>30000</v>
      </c>
      <c r="W43" s="610">
        <v>30000</v>
      </c>
      <c r="X43" s="961"/>
      <c r="Y43" s="81">
        <v>30000</v>
      </c>
      <c r="Z43" s="1212"/>
      <c r="AA43" s="1213"/>
      <c r="AB43" s="1213"/>
      <c r="AC43" s="1212">
        <f t="shared" si="4"/>
        <v>0</v>
      </c>
      <c r="AD43" s="81"/>
      <c r="AG43" s="1213"/>
    </row>
    <row r="44" spans="3:33" s="1230" customFormat="1" ht="15.6" customHeight="1" x14ac:dyDescent="0.25">
      <c r="C44" s="1210">
        <v>623000.43099999998</v>
      </c>
      <c r="D44" s="689" t="s">
        <v>589</v>
      </c>
      <c r="E44" s="667">
        <v>13000</v>
      </c>
      <c r="F44" s="667">
        <v>10637</v>
      </c>
      <c r="G44" s="667">
        <f>F44/11</f>
        <v>967</v>
      </c>
      <c r="H44" s="667">
        <f t="shared" si="10"/>
        <v>11604</v>
      </c>
      <c r="I44" s="667">
        <v>13000</v>
      </c>
      <c r="J44" s="667">
        <v>7109</v>
      </c>
      <c r="K44" s="610">
        <v>13000</v>
      </c>
      <c r="P44" s="608">
        <v>9987</v>
      </c>
      <c r="Q44" s="608">
        <v>10971</v>
      </c>
      <c r="R44" s="1234">
        <v>11000</v>
      </c>
      <c r="S44" s="610">
        <v>11000</v>
      </c>
      <c r="W44" s="667">
        <v>13000</v>
      </c>
      <c r="X44" s="961"/>
      <c r="Y44" s="81">
        <v>13000</v>
      </c>
      <c r="Z44" s="81"/>
      <c r="AA44" s="1213"/>
      <c r="AB44" s="1213"/>
      <c r="AC44" s="1212">
        <f t="shared" si="4"/>
        <v>0</v>
      </c>
      <c r="AD44" s="81"/>
      <c r="AG44" s="1213"/>
    </row>
    <row r="45" spans="3:33" s="1230" customFormat="1" ht="15.6" customHeight="1" x14ac:dyDescent="0.25">
      <c r="C45" s="1210">
        <v>623000.47</v>
      </c>
      <c r="D45" s="689" t="s">
        <v>590</v>
      </c>
      <c r="E45" s="667">
        <v>5200</v>
      </c>
      <c r="F45" s="667">
        <v>6100</v>
      </c>
      <c r="G45" s="667">
        <f>F45/11</f>
        <v>554.5454545454545</v>
      </c>
      <c r="H45" s="667">
        <f t="shared" si="10"/>
        <v>6654.545454545454</v>
      </c>
      <c r="I45" s="667">
        <v>5200</v>
      </c>
      <c r="J45" s="667">
        <v>0</v>
      </c>
      <c r="K45" s="610">
        <v>5200</v>
      </c>
      <c r="P45" s="608">
        <v>2550</v>
      </c>
      <c r="Q45" s="608">
        <v>3850</v>
      </c>
      <c r="R45" s="1234">
        <v>4000</v>
      </c>
      <c r="S45" s="610">
        <v>4000</v>
      </c>
      <c r="W45" s="667">
        <v>5200</v>
      </c>
      <c r="X45" s="961"/>
      <c r="Y45" s="81">
        <v>5200</v>
      </c>
      <c r="Z45" s="1212"/>
      <c r="AA45" s="1213"/>
      <c r="AB45" s="1213"/>
      <c r="AC45" s="1212">
        <f t="shared" si="4"/>
        <v>0</v>
      </c>
      <c r="AD45" s="81"/>
      <c r="AG45" s="1213"/>
    </row>
    <row r="46" spans="3:33" s="1230" customFormat="1" ht="15.6" customHeight="1" x14ac:dyDescent="0.25">
      <c r="C46" s="1210">
        <v>623000.54</v>
      </c>
      <c r="D46" s="689" t="s">
        <v>591</v>
      </c>
      <c r="E46" s="667">
        <v>10000</v>
      </c>
      <c r="F46" s="667">
        <v>8167</v>
      </c>
      <c r="G46" s="667">
        <f>F46/11</f>
        <v>742.4545454545455</v>
      </c>
      <c r="H46" s="667">
        <f t="shared" si="10"/>
        <v>8909.454545454546</v>
      </c>
      <c r="I46" s="667">
        <v>10000</v>
      </c>
      <c r="J46" s="667">
        <v>3588</v>
      </c>
      <c r="K46" s="610">
        <v>10000</v>
      </c>
      <c r="P46" s="608">
        <v>5555</v>
      </c>
      <c r="Q46" s="608">
        <v>7901</v>
      </c>
      <c r="R46" s="1234">
        <v>10000</v>
      </c>
      <c r="S46" s="610">
        <v>10000</v>
      </c>
      <c r="W46" s="667">
        <v>10000</v>
      </c>
      <c r="X46" s="961"/>
      <c r="Y46" s="81">
        <v>10000</v>
      </c>
      <c r="Z46" s="81"/>
      <c r="AA46" s="81"/>
      <c r="AB46" s="81"/>
      <c r="AC46" s="1212">
        <f t="shared" si="4"/>
        <v>0</v>
      </c>
      <c r="AD46" s="81"/>
      <c r="AG46" s="81"/>
    </row>
    <row r="47" spans="3:33" s="1230" customFormat="1" ht="15.6" customHeight="1" x14ac:dyDescent="0.25">
      <c r="C47" s="1210">
        <v>623000.69999999995</v>
      </c>
      <c r="D47" s="689" t="s">
        <v>2069</v>
      </c>
      <c r="E47" s="610">
        <v>80000</v>
      </c>
      <c r="F47" s="667">
        <v>78798</v>
      </c>
      <c r="G47" s="667">
        <f>F47/11</f>
        <v>7163.454545454545</v>
      </c>
      <c r="H47" s="667">
        <f t="shared" si="10"/>
        <v>85961.454545454544</v>
      </c>
      <c r="I47" s="1211">
        <v>50000</v>
      </c>
      <c r="J47" s="1211">
        <v>21348</v>
      </c>
      <c r="K47" s="610">
        <v>50000</v>
      </c>
      <c r="L47" s="1230" t="s">
        <v>593</v>
      </c>
      <c r="P47" s="608">
        <v>21348</v>
      </c>
      <c r="Q47" s="608">
        <v>39347</v>
      </c>
      <c r="R47" s="1225">
        <v>60000</v>
      </c>
      <c r="S47" s="1225">
        <v>0</v>
      </c>
      <c r="W47" s="1211">
        <v>50000</v>
      </c>
      <c r="X47" s="961"/>
      <c r="Y47" s="81">
        <v>50000</v>
      </c>
      <c r="Z47" s="1212"/>
      <c r="AA47" s="1213"/>
      <c r="AB47" s="1213"/>
      <c r="AC47" s="1212">
        <f t="shared" si="4"/>
        <v>0</v>
      </c>
      <c r="AD47" s="81"/>
      <c r="AG47" s="1213"/>
    </row>
    <row r="48" spans="3:33" s="1230" customFormat="1" ht="15.6" customHeight="1" x14ac:dyDescent="0.25">
      <c r="C48" s="1210">
        <v>623000.75</v>
      </c>
      <c r="D48" s="689" t="s">
        <v>594</v>
      </c>
      <c r="E48" s="667">
        <f>38000*12*1.17+15000*12-5500*1.17*12+400*12</f>
        <v>641100</v>
      </c>
      <c r="F48" s="667">
        <v>474606</v>
      </c>
      <c r="G48" s="667">
        <f>F48/11+60000+60000</f>
        <v>163146</v>
      </c>
      <c r="H48" s="667">
        <f t="shared" si="10"/>
        <v>637752</v>
      </c>
      <c r="I48" s="667">
        <f>38000*12*1.17-5500*1.17*12+15000*12+400*12</f>
        <v>641100</v>
      </c>
      <c r="J48" s="667">
        <f>159787+X48</f>
        <v>199787</v>
      </c>
      <c r="K48" s="610">
        <v>641100</v>
      </c>
      <c r="P48" s="608">
        <v>289766</v>
      </c>
      <c r="Q48" s="608">
        <v>662269</v>
      </c>
      <c r="R48" s="1225">
        <f>35000*1.17*12-6500*12+250000</f>
        <v>663400</v>
      </c>
      <c r="S48" s="1225">
        <f>413400+250000</f>
        <v>663400</v>
      </c>
      <c r="W48" s="667">
        <f>38000*12*1.17-5500*1.17*12+15000*12+400*1.17*12</f>
        <v>641916</v>
      </c>
      <c r="X48" s="961">
        <v>40000</v>
      </c>
      <c r="Y48" s="81">
        <v>641100</v>
      </c>
      <c r="Z48" s="81"/>
      <c r="AA48" s="81"/>
      <c r="AB48" s="81"/>
      <c r="AC48" s="1212">
        <f t="shared" si="4"/>
        <v>0</v>
      </c>
      <c r="AD48" s="81"/>
      <c r="AG48" s="81"/>
    </row>
    <row r="49" spans="3:33" s="1230" customFormat="1" ht="15.6" customHeight="1" x14ac:dyDescent="0.25">
      <c r="C49" s="1210">
        <v>623000.78</v>
      </c>
      <c r="D49" s="689" t="s">
        <v>595</v>
      </c>
      <c r="E49" s="667">
        <v>80000</v>
      </c>
      <c r="F49" s="667">
        <v>74880</v>
      </c>
      <c r="G49" s="667">
        <f>F49/11</f>
        <v>6807.272727272727</v>
      </c>
      <c r="H49" s="667">
        <f t="shared" si="10"/>
        <v>81687.272727272721</v>
      </c>
      <c r="I49" s="667">
        <v>20000</v>
      </c>
      <c r="J49" s="667">
        <v>0</v>
      </c>
      <c r="K49" s="610">
        <f>J49*2</f>
        <v>0</v>
      </c>
      <c r="L49" s="1230" t="s">
        <v>596</v>
      </c>
      <c r="P49" s="608">
        <v>0</v>
      </c>
      <c r="Q49" s="608">
        <f>P49/9*12</f>
        <v>0</v>
      </c>
      <c r="R49" s="1225">
        <v>0</v>
      </c>
      <c r="S49" s="1225">
        <v>0</v>
      </c>
      <c r="W49" s="667">
        <v>0</v>
      </c>
      <c r="X49" s="961"/>
      <c r="Y49" s="81"/>
      <c r="Z49" s="1212"/>
      <c r="AA49" s="1213"/>
      <c r="AB49" s="81"/>
      <c r="AC49" s="1212">
        <f t="shared" si="4"/>
        <v>-20000</v>
      </c>
      <c r="AD49" s="81"/>
      <c r="AG49" s="1213"/>
    </row>
    <row r="50" spans="3:33" s="1230" customFormat="1" ht="15.6" customHeight="1" x14ac:dyDescent="0.25">
      <c r="C50" s="1210">
        <v>623100.78</v>
      </c>
      <c r="D50" s="689" t="s">
        <v>1695</v>
      </c>
      <c r="E50" s="667">
        <v>200000</v>
      </c>
      <c r="F50" s="667">
        <v>174903</v>
      </c>
      <c r="G50" s="667">
        <f>F50/11</f>
        <v>15900.272727272728</v>
      </c>
      <c r="H50" s="667">
        <f t="shared" si="10"/>
        <v>190803.27272727274</v>
      </c>
      <c r="I50" s="667">
        <v>200000</v>
      </c>
      <c r="J50" s="667">
        <v>32444</v>
      </c>
      <c r="K50" s="610">
        <v>200000</v>
      </c>
      <c r="L50" s="1230" t="s">
        <v>593</v>
      </c>
      <c r="P50" s="608">
        <f>72205+25000*3</f>
        <v>147205</v>
      </c>
      <c r="Q50" s="608">
        <v>96992</v>
      </c>
      <c r="R50" s="1225">
        <v>0</v>
      </c>
      <c r="S50" s="1225">
        <v>0</v>
      </c>
      <c r="W50" s="667">
        <v>0</v>
      </c>
      <c r="X50" s="961"/>
      <c r="Y50" s="81">
        <v>200000</v>
      </c>
      <c r="Z50" s="1212"/>
      <c r="AA50" s="1213"/>
      <c r="AB50" s="81"/>
      <c r="AC50" s="1212">
        <f t="shared" si="4"/>
        <v>0</v>
      </c>
      <c r="AD50" s="81"/>
      <c r="AG50" s="1213"/>
    </row>
    <row r="51" spans="3:33" s="1226" customFormat="1" ht="15.6" customHeight="1" x14ac:dyDescent="0.25">
      <c r="C51" s="1227" t="s">
        <v>597</v>
      </c>
      <c r="D51" s="1228" t="s">
        <v>598</v>
      </c>
      <c r="E51" s="1229">
        <f t="shared" ref="E51:S51" si="11">SUM(E37:E50)</f>
        <v>2525654</v>
      </c>
      <c r="F51" s="1229">
        <f t="shared" si="11"/>
        <v>2160896</v>
      </c>
      <c r="G51" s="1229">
        <f t="shared" si="11"/>
        <v>393044.90909090906</v>
      </c>
      <c r="H51" s="1229">
        <f t="shared" si="11"/>
        <v>2553940.9090909096</v>
      </c>
      <c r="I51" s="1229">
        <f t="shared" si="11"/>
        <v>2687628</v>
      </c>
      <c r="J51" s="1229">
        <f t="shared" si="11"/>
        <v>992450</v>
      </c>
      <c r="K51" s="1229">
        <f t="shared" si="11"/>
        <v>2555629.0833333335</v>
      </c>
      <c r="L51" s="1229">
        <f t="shared" si="11"/>
        <v>0</v>
      </c>
      <c r="M51" s="1229">
        <f t="shared" si="11"/>
        <v>0</v>
      </c>
      <c r="N51" s="1229">
        <f t="shared" si="11"/>
        <v>0</v>
      </c>
      <c r="O51" s="1229">
        <f t="shared" si="11"/>
        <v>0</v>
      </c>
      <c r="P51" s="1229">
        <f t="shared" si="11"/>
        <v>1632795.04</v>
      </c>
      <c r="Q51" s="1229">
        <f t="shared" si="11"/>
        <v>2356919</v>
      </c>
      <c r="R51" s="1229">
        <f t="shared" si="11"/>
        <v>2471897.4476952381</v>
      </c>
      <c r="S51" s="1229">
        <f t="shared" si="11"/>
        <v>2518999.114292</v>
      </c>
      <c r="T51" s="1229">
        <f t="shared" ref="T51:AC51" si="12">SUM(T37:T50)</f>
        <v>0</v>
      </c>
      <c r="U51" s="1229">
        <f t="shared" si="12"/>
        <v>0</v>
      </c>
      <c r="V51" s="1229">
        <f t="shared" si="12"/>
        <v>0</v>
      </c>
      <c r="W51" s="1229">
        <f t="shared" si="12"/>
        <v>1120036</v>
      </c>
      <c r="X51" s="1229">
        <f t="shared" si="12"/>
        <v>40000</v>
      </c>
      <c r="Y51" s="1229">
        <f t="shared" si="12"/>
        <v>1294650</v>
      </c>
      <c r="Z51" s="1229">
        <f t="shared" si="12"/>
        <v>0</v>
      </c>
      <c r="AA51" s="1229">
        <f t="shared" si="12"/>
        <v>0</v>
      </c>
      <c r="AB51" s="1229">
        <f t="shared" si="12"/>
        <v>0</v>
      </c>
      <c r="AC51" s="1229">
        <f t="shared" si="12"/>
        <v>-131998.91666666663</v>
      </c>
      <c r="AD51" s="81" t="str">
        <f t="shared" si="5"/>
        <v>סה"כ</v>
      </c>
      <c r="AG51" s="1213"/>
    </row>
    <row r="52" spans="3:33" s="1230" customFormat="1" x14ac:dyDescent="0.25">
      <c r="C52" s="1231"/>
      <c r="D52" s="1232"/>
      <c r="E52" s="667"/>
      <c r="F52" s="603"/>
      <c r="G52" s="667">
        <f>F52/9*3</f>
        <v>0</v>
      </c>
      <c r="H52" s="667"/>
      <c r="I52" s="667"/>
      <c r="J52" s="667"/>
      <c r="K52" s="667"/>
      <c r="L52" s="1235"/>
      <c r="M52" s="1235"/>
      <c r="N52" s="1235"/>
      <c r="O52" s="1235"/>
      <c r="P52" s="608"/>
      <c r="Q52" s="608"/>
      <c r="R52" s="608"/>
      <c r="S52" s="608"/>
      <c r="W52" s="667"/>
      <c r="X52" s="961"/>
      <c r="Y52" s="81"/>
      <c r="Z52" s="1212"/>
      <c r="AA52" s="1213"/>
      <c r="AB52" s="1213"/>
      <c r="AC52" s="1212">
        <f t="shared" si="4"/>
        <v>0</v>
      </c>
      <c r="AD52" s="81" t="str">
        <f t="shared" si="5"/>
        <v/>
      </c>
      <c r="AG52" s="1213"/>
    </row>
    <row r="53" spans="3:33" s="1230" customFormat="1" ht="15.6" customHeight="1" x14ac:dyDescent="0.25">
      <c r="C53" s="1210">
        <v>631000.61</v>
      </c>
      <c r="D53" s="689" t="s">
        <v>599</v>
      </c>
      <c r="E53" s="667">
        <v>430000</v>
      </c>
      <c r="F53" s="667">
        <v>348427</v>
      </c>
      <c r="G53" s="667">
        <f>F53/11</f>
        <v>31675.18181818182</v>
      </c>
      <c r="H53" s="667">
        <f>F53+G53</f>
        <v>380102.18181818182</v>
      </c>
      <c r="I53" s="667">
        <v>430000</v>
      </c>
      <c r="J53" s="667">
        <v>209841</v>
      </c>
      <c r="K53" s="667">
        <f>J53*2</f>
        <v>419682</v>
      </c>
      <c r="P53" s="608">
        <v>303640</v>
      </c>
      <c r="Q53" s="608">
        <f>432820+18438</f>
        <v>451258</v>
      </c>
      <c r="R53" s="667">
        <v>452000</v>
      </c>
      <c r="S53" s="608">
        <v>200000</v>
      </c>
      <c r="W53" s="1224">
        <v>200000</v>
      </c>
      <c r="X53" s="961"/>
      <c r="Y53" s="81"/>
      <c r="Z53" s="1212"/>
      <c r="AA53" s="1213"/>
      <c r="AB53" s="1213"/>
      <c r="AC53" s="1212">
        <f t="shared" si="4"/>
        <v>-10318</v>
      </c>
      <c r="AD53" s="81"/>
      <c r="AG53" s="1213"/>
    </row>
    <row r="54" spans="3:33" s="1230" customFormat="1" ht="15.6" customHeight="1" x14ac:dyDescent="0.25">
      <c r="C54" s="1210">
        <v>631000.65</v>
      </c>
      <c r="D54" s="689" t="s">
        <v>1696</v>
      </c>
      <c r="E54" s="610">
        <v>2500000</v>
      </c>
      <c r="F54" s="667">
        <v>2379247</v>
      </c>
      <c r="G54" s="667">
        <f>F54/11</f>
        <v>216295.18181818182</v>
      </c>
      <c r="H54" s="667">
        <f>F54+G54</f>
        <v>2595542.1818181816</v>
      </c>
      <c r="I54" s="667">
        <v>1400000</v>
      </c>
      <c r="J54" s="667">
        <f>522574+18438</f>
        <v>541012</v>
      </c>
      <c r="K54" s="667">
        <f>J54*2</f>
        <v>1082024</v>
      </c>
      <c r="P54" s="608">
        <f>843068+18439+80000</f>
        <v>941507</v>
      </c>
      <c r="Q54" s="608">
        <v>1522570</v>
      </c>
      <c r="R54" s="667">
        <v>1523000</v>
      </c>
      <c r="S54" s="608">
        <v>100000</v>
      </c>
      <c r="W54" s="1224">
        <v>100000</v>
      </c>
      <c r="X54" s="961"/>
      <c r="Y54" s="81"/>
      <c r="Z54" s="1212"/>
      <c r="AA54" s="81"/>
      <c r="AB54" s="1213"/>
      <c r="AC54" s="1212">
        <f t="shared" si="4"/>
        <v>-317976</v>
      </c>
      <c r="AD54" s="81"/>
      <c r="AG54" s="81"/>
    </row>
    <row r="55" spans="3:33" s="1230" customFormat="1" ht="15.6" customHeight="1" x14ac:dyDescent="0.25">
      <c r="C55" s="1210">
        <v>633000.62</v>
      </c>
      <c r="D55" s="689" t="s">
        <v>600</v>
      </c>
      <c r="E55" s="610">
        <v>635000</v>
      </c>
      <c r="F55" s="667">
        <v>620145</v>
      </c>
      <c r="G55" s="667">
        <f>F55/11</f>
        <v>56376.818181818184</v>
      </c>
      <c r="H55" s="667">
        <f>F55+G55</f>
        <v>676521.81818181823</v>
      </c>
      <c r="I55" s="667">
        <f>E55/4</f>
        <v>158750</v>
      </c>
      <c r="J55" s="667">
        <v>243819</v>
      </c>
      <c r="K55" s="667">
        <f>J55*2</f>
        <v>487638</v>
      </c>
      <c r="P55" s="608">
        <v>440646</v>
      </c>
      <c r="Q55" s="608">
        <v>495382</v>
      </c>
      <c r="R55" s="1225">
        <v>250000</v>
      </c>
      <c r="S55" s="1225">
        <v>0</v>
      </c>
      <c r="W55" s="610">
        <v>0</v>
      </c>
      <c r="X55" s="961"/>
      <c r="Y55" s="81"/>
      <c r="Z55" s="1212"/>
      <c r="AA55" s="1213"/>
      <c r="AB55" s="1213"/>
      <c r="AC55" s="1212">
        <f t="shared" si="4"/>
        <v>328888</v>
      </c>
      <c r="AD55" s="81"/>
      <c r="AG55" s="1213"/>
    </row>
    <row r="56" spans="3:33" s="1226" customFormat="1" ht="17.25" customHeight="1" x14ac:dyDescent="0.25">
      <c r="C56" s="1227" t="s">
        <v>601</v>
      </c>
      <c r="D56" s="1228" t="s">
        <v>602</v>
      </c>
      <c r="E56" s="1229">
        <f t="shared" ref="E56:S56" si="13">SUM(E53:E55)</f>
        <v>3565000</v>
      </c>
      <c r="F56" s="1229">
        <f t="shared" si="13"/>
        <v>3347819</v>
      </c>
      <c r="G56" s="1229">
        <f t="shared" si="13"/>
        <v>304347.18181818182</v>
      </c>
      <c r="H56" s="1229">
        <f t="shared" si="13"/>
        <v>3652166.1818181816</v>
      </c>
      <c r="I56" s="1229">
        <f t="shared" si="13"/>
        <v>1988750</v>
      </c>
      <c r="J56" s="1229">
        <f t="shared" si="13"/>
        <v>994672</v>
      </c>
      <c r="K56" s="1229">
        <f t="shared" si="13"/>
        <v>1989344</v>
      </c>
      <c r="L56" s="1229">
        <f t="shared" si="13"/>
        <v>0</v>
      </c>
      <c r="M56" s="1229">
        <f t="shared" si="13"/>
        <v>0</v>
      </c>
      <c r="N56" s="1229">
        <f t="shared" si="13"/>
        <v>0</v>
      </c>
      <c r="O56" s="1229">
        <f t="shared" si="13"/>
        <v>0</v>
      </c>
      <c r="P56" s="1229">
        <f t="shared" si="13"/>
        <v>1685793</v>
      </c>
      <c r="Q56" s="1229">
        <f t="shared" si="13"/>
        <v>2469210</v>
      </c>
      <c r="R56" s="1229">
        <f t="shared" si="13"/>
        <v>2225000</v>
      </c>
      <c r="S56" s="1229">
        <f t="shared" si="13"/>
        <v>300000</v>
      </c>
      <c r="T56" s="1229">
        <f t="shared" ref="T56:AC56" si="14">SUM(T53:T55)</f>
        <v>0</v>
      </c>
      <c r="U56" s="1229">
        <f t="shared" si="14"/>
        <v>0</v>
      </c>
      <c r="V56" s="1229">
        <f t="shared" si="14"/>
        <v>0</v>
      </c>
      <c r="W56" s="1229">
        <f t="shared" si="14"/>
        <v>300000</v>
      </c>
      <c r="X56" s="1229">
        <f t="shared" si="14"/>
        <v>0</v>
      </c>
      <c r="Y56" s="1229">
        <f t="shared" si="14"/>
        <v>0</v>
      </c>
      <c r="Z56" s="1229">
        <f t="shared" si="14"/>
        <v>0</v>
      </c>
      <c r="AA56" s="1229">
        <f t="shared" si="14"/>
        <v>0</v>
      </c>
      <c r="AB56" s="1229">
        <f t="shared" si="14"/>
        <v>0</v>
      </c>
      <c r="AC56" s="1229">
        <f t="shared" si="14"/>
        <v>594</v>
      </c>
      <c r="AD56" s="81" t="str">
        <f t="shared" si="5"/>
        <v>סה"כ</v>
      </c>
      <c r="AG56" s="1213"/>
    </row>
    <row r="57" spans="3:33" s="1230" customFormat="1" ht="15.6" customHeight="1" x14ac:dyDescent="0.25">
      <c r="C57" s="1236"/>
      <c r="D57" s="1237"/>
      <c r="E57" s="610"/>
      <c r="F57" s="603"/>
      <c r="G57" s="667">
        <f>F57/9*3</f>
        <v>0</v>
      </c>
      <c r="H57" s="667"/>
      <c r="I57" s="610"/>
      <c r="J57" s="610"/>
      <c r="K57" s="610"/>
      <c r="P57" s="608"/>
      <c r="Q57" s="608"/>
      <c r="R57" s="608"/>
      <c r="S57" s="608"/>
      <c r="W57" s="610"/>
      <c r="X57" s="961"/>
      <c r="Y57" s="81"/>
      <c r="Z57" s="81"/>
      <c r="AA57" s="81"/>
      <c r="AB57" s="81"/>
      <c r="AC57" s="1212">
        <f t="shared" si="4"/>
        <v>0</v>
      </c>
      <c r="AD57" s="81" t="str">
        <f t="shared" si="5"/>
        <v/>
      </c>
      <c r="AG57" s="81"/>
    </row>
    <row r="58" spans="3:33" s="1230" customFormat="1" ht="15.6" customHeight="1" x14ac:dyDescent="0.25">
      <c r="C58" s="1236">
        <v>649100.69099999999</v>
      </c>
      <c r="D58" s="1237" t="s">
        <v>603</v>
      </c>
      <c r="E58" s="610">
        <v>8039939</v>
      </c>
      <c r="F58" s="610">
        <v>8338689</v>
      </c>
      <c r="G58" s="610">
        <v>0</v>
      </c>
      <c r="H58" s="610">
        <f>F58+G58</f>
        <v>8338689</v>
      </c>
      <c r="I58" s="610">
        <f>303928+300000</f>
        <v>603928</v>
      </c>
      <c r="J58" s="610">
        <v>205192</v>
      </c>
      <c r="K58" s="610">
        <f>J58*2</f>
        <v>410384</v>
      </c>
      <c r="P58" s="610">
        <v>260814</v>
      </c>
      <c r="Q58" s="610">
        <v>505365</v>
      </c>
      <c r="R58" s="610">
        <f>510000+168000*4</f>
        <v>1182000</v>
      </c>
      <c r="S58" s="610">
        <f>R58+'נספח ג'!B10/'נספח ג'!D10</f>
        <v>2182000</v>
      </c>
      <c r="W58" s="673">
        <f>2567234-120000-500000</f>
        <v>1947234</v>
      </c>
      <c r="X58" s="961"/>
      <c r="Y58" s="81"/>
      <c r="Z58" s="1212"/>
      <c r="AA58" s="1213"/>
      <c r="AB58" s="1213"/>
      <c r="AC58" s="1212">
        <f t="shared" si="4"/>
        <v>-193544</v>
      </c>
      <c r="AD58" s="81"/>
      <c r="AG58" s="1213"/>
    </row>
    <row r="59" spans="3:33" s="1230" customFormat="1" ht="15.6" customHeight="1" x14ac:dyDescent="0.25">
      <c r="C59" s="1236">
        <v>649100.69200000004</v>
      </c>
      <c r="D59" s="1237" t="s">
        <v>604</v>
      </c>
      <c r="E59" s="610">
        <v>500000</v>
      </c>
      <c r="F59" s="610">
        <v>562424</v>
      </c>
      <c r="G59" s="610">
        <v>0</v>
      </c>
      <c r="H59" s="610">
        <f>F59+G59</f>
        <v>562424</v>
      </c>
      <c r="I59" s="610">
        <v>876000</v>
      </c>
      <c r="J59" s="610">
        <v>341722</v>
      </c>
      <c r="K59" s="610">
        <f>J59*2</f>
        <v>683444</v>
      </c>
      <c r="L59" s="1235"/>
      <c r="M59" s="1235"/>
      <c r="N59" s="1235"/>
      <c r="O59" s="1235"/>
      <c r="P59" s="610">
        <v>510862</v>
      </c>
      <c r="Q59" s="610">
        <v>799719</v>
      </c>
      <c r="R59" s="610">
        <v>800000</v>
      </c>
      <c r="S59" s="610">
        <f>R59+'נספח ג'!B10*'נספח ג'!E10</f>
        <v>2300000</v>
      </c>
      <c r="W59" s="673">
        <f>1833000-324000</f>
        <v>1509000</v>
      </c>
      <c r="X59" s="961"/>
      <c r="Y59" s="81"/>
      <c r="Z59" s="81"/>
      <c r="AA59" s="1213"/>
      <c r="AB59" s="1213"/>
      <c r="AC59" s="1212">
        <f t="shared" si="4"/>
        <v>-192556</v>
      </c>
      <c r="AD59" s="81"/>
      <c r="AG59" s="1213"/>
    </row>
    <row r="60" spans="3:33" s="1230" customFormat="1" ht="15.6" customHeight="1" x14ac:dyDescent="0.25">
      <c r="C60" s="1236">
        <v>649100.69299999997</v>
      </c>
      <c r="D60" s="1237" t="s">
        <v>605</v>
      </c>
      <c r="E60" s="610">
        <v>80000</v>
      </c>
      <c r="F60" s="610">
        <v>71190</v>
      </c>
      <c r="G60" s="610">
        <v>0</v>
      </c>
      <c r="H60" s="610">
        <f>F60+G60</f>
        <v>71190</v>
      </c>
      <c r="I60" s="610">
        <v>26981</v>
      </c>
      <c r="J60" s="610">
        <v>31228</v>
      </c>
      <c r="K60" s="610">
        <f>J60*2</f>
        <v>62456</v>
      </c>
      <c r="P60" s="610">
        <v>38886</v>
      </c>
      <c r="Q60" s="610">
        <v>44037</v>
      </c>
      <c r="R60" s="610">
        <v>44000</v>
      </c>
      <c r="S60" s="610">
        <v>60000</v>
      </c>
      <c r="W60" s="673">
        <v>16752</v>
      </c>
      <c r="X60" s="961"/>
      <c r="Y60" s="81"/>
      <c r="Z60" s="1212"/>
      <c r="AA60" s="1213"/>
      <c r="AB60" s="1213"/>
      <c r="AC60" s="1212">
        <f t="shared" si="4"/>
        <v>35475</v>
      </c>
      <c r="AD60" s="81"/>
      <c r="AG60" s="1213"/>
    </row>
    <row r="61" spans="3:33" s="1226" customFormat="1" ht="17.25" customHeight="1" x14ac:dyDescent="0.25">
      <c r="C61" s="1238" t="s">
        <v>606</v>
      </c>
      <c r="D61" s="1239" t="s">
        <v>607</v>
      </c>
      <c r="E61" s="695">
        <f t="shared" ref="E61:S61" si="15">SUM(E58:E60)</f>
        <v>8619939</v>
      </c>
      <c r="F61" s="695">
        <f t="shared" si="15"/>
        <v>8972303</v>
      </c>
      <c r="G61" s="695">
        <f t="shared" si="15"/>
        <v>0</v>
      </c>
      <c r="H61" s="695">
        <f t="shared" si="15"/>
        <v>8972303</v>
      </c>
      <c r="I61" s="695">
        <f t="shared" si="15"/>
        <v>1506909</v>
      </c>
      <c r="J61" s="695">
        <f t="shared" si="15"/>
        <v>578142</v>
      </c>
      <c r="K61" s="695">
        <f t="shared" si="15"/>
        <v>1156284</v>
      </c>
      <c r="L61" s="695">
        <f t="shared" si="15"/>
        <v>0</v>
      </c>
      <c r="M61" s="695">
        <f t="shared" si="15"/>
        <v>0</v>
      </c>
      <c r="N61" s="695">
        <f t="shared" si="15"/>
        <v>0</v>
      </c>
      <c r="O61" s="695">
        <f t="shared" si="15"/>
        <v>0</v>
      </c>
      <c r="P61" s="695">
        <f t="shared" si="15"/>
        <v>810562</v>
      </c>
      <c r="Q61" s="695">
        <f t="shared" si="15"/>
        <v>1349121</v>
      </c>
      <c r="R61" s="695">
        <f t="shared" si="15"/>
        <v>2026000</v>
      </c>
      <c r="S61" s="695">
        <f t="shared" si="15"/>
        <v>4542000</v>
      </c>
      <c r="T61" s="695">
        <f t="shared" ref="T61:AC61" si="16">SUM(T58:T60)</f>
        <v>0</v>
      </c>
      <c r="U61" s="695">
        <f t="shared" si="16"/>
        <v>0</v>
      </c>
      <c r="V61" s="695">
        <f t="shared" si="16"/>
        <v>0</v>
      </c>
      <c r="W61" s="695">
        <f t="shared" si="16"/>
        <v>3472986</v>
      </c>
      <c r="X61" s="695">
        <f t="shared" si="16"/>
        <v>0</v>
      </c>
      <c r="Y61" s="695">
        <f t="shared" si="16"/>
        <v>0</v>
      </c>
      <c r="Z61" s="695">
        <f t="shared" si="16"/>
        <v>0</v>
      </c>
      <c r="AA61" s="695">
        <f t="shared" si="16"/>
        <v>0</v>
      </c>
      <c r="AB61" s="695">
        <f t="shared" si="16"/>
        <v>0</v>
      </c>
      <c r="AC61" s="695">
        <f t="shared" si="16"/>
        <v>-350625</v>
      </c>
      <c r="AD61" s="81" t="str">
        <f t="shared" si="5"/>
        <v>סה"כ</v>
      </c>
      <c r="AG61" s="1213"/>
    </row>
    <row r="62" spans="3:33" s="1230" customFormat="1" ht="15.6" customHeight="1" x14ac:dyDescent="0.25">
      <c r="C62" s="1210"/>
      <c r="D62" s="1240"/>
      <c r="E62" s="667"/>
      <c r="F62" s="603"/>
      <c r="G62" s="667">
        <f>F62/9*3</f>
        <v>0</v>
      </c>
      <c r="H62" s="667"/>
      <c r="I62" s="667"/>
      <c r="J62" s="667"/>
      <c r="K62" s="667"/>
      <c r="P62" s="1233"/>
      <c r="Q62" s="1233"/>
      <c r="R62" s="1233"/>
      <c r="S62" s="1233"/>
      <c r="W62" s="667"/>
      <c r="X62" s="961"/>
      <c r="Y62" s="81"/>
      <c r="Z62" s="1212"/>
      <c r="AA62" s="1213"/>
      <c r="AB62" s="1213"/>
      <c r="AC62" s="1212">
        <f t="shared" si="4"/>
        <v>0</v>
      </c>
      <c r="AD62" s="81" t="str">
        <f t="shared" si="5"/>
        <v/>
      </c>
      <c r="AG62" s="1213"/>
    </row>
    <row r="63" spans="3:33" s="1230" customFormat="1" ht="18.75" customHeight="1" x14ac:dyDescent="0.25">
      <c r="C63" s="1241" t="s">
        <v>399</v>
      </c>
      <c r="D63" s="1242" t="s">
        <v>608</v>
      </c>
      <c r="E63" s="1243">
        <f t="shared" ref="E63:S63" si="17">E35+E51+E56+E61</f>
        <v>18254851</v>
      </c>
      <c r="F63" s="1243">
        <f t="shared" si="17"/>
        <v>17414957</v>
      </c>
      <c r="G63" s="1243">
        <f t="shared" si="17"/>
        <v>1281670</v>
      </c>
      <c r="H63" s="1243">
        <f t="shared" si="17"/>
        <v>18696627</v>
      </c>
      <c r="I63" s="1243">
        <f t="shared" si="17"/>
        <v>10012067</v>
      </c>
      <c r="J63" s="1243">
        <f t="shared" si="17"/>
        <v>4407580</v>
      </c>
      <c r="K63" s="1243">
        <f t="shared" si="17"/>
        <v>9704028.4166666679</v>
      </c>
      <c r="L63" s="1243">
        <f t="shared" si="17"/>
        <v>0</v>
      </c>
      <c r="M63" s="1243">
        <f t="shared" si="17"/>
        <v>0</v>
      </c>
      <c r="N63" s="1243">
        <f t="shared" si="17"/>
        <v>0</v>
      </c>
      <c r="O63" s="1243">
        <f t="shared" si="17"/>
        <v>0</v>
      </c>
      <c r="P63" s="1243">
        <f t="shared" si="17"/>
        <v>6884769.2300000004</v>
      </c>
      <c r="Q63" s="1243">
        <f t="shared" si="17"/>
        <v>9799151.6999999993</v>
      </c>
      <c r="R63" s="1243">
        <f t="shared" si="17"/>
        <v>11236693.592980953</v>
      </c>
      <c r="S63" s="1243">
        <f t="shared" si="17"/>
        <v>11501320.182483427</v>
      </c>
      <c r="T63" s="1243" t="e">
        <f t="shared" ref="T63:AC63" si="18">T35+T51+T56+T61</f>
        <v>#REF!</v>
      </c>
      <c r="U63" s="1243" t="e">
        <f t="shared" si="18"/>
        <v>#REF!</v>
      </c>
      <c r="V63" s="1243" t="e">
        <f t="shared" si="18"/>
        <v>#REF!</v>
      </c>
      <c r="W63" s="1243" t="e">
        <f t="shared" si="18"/>
        <v>#REF!</v>
      </c>
      <c r="X63" s="1243" t="e">
        <f t="shared" si="18"/>
        <v>#REF!</v>
      </c>
      <c r="Y63" s="1243" t="e">
        <f t="shared" si="18"/>
        <v>#REF!</v>
      </c>
      <c r="Z63" s="1243" t="e">
        <f t="shared" si="18"/>
        <v>#REF!</v>
      </c>
      <c r="AA63" s="1243" t="e">
        <f t="shared" si="18"/>
        <v>#REF!</v>
      </c>
      <c r="AB63" s="1243" t="e">
        <f t="shared" si="18"/>
        <v>#REF!</v>
      </c>
      <c r="AC63" s="1243" t="e">
        <f t="shared" si="18"/>
        <v>#REF!</v>
      </c>
      <c r="AD63" s="81" t="str">
        <f t="shared" si="5"/>
        <v>סה"כ</v>
      </c>
      <c r="AG63" s="1213"/>
    </row>
    <row r="64" spans="3:33" s="1230" customFormat="1" ht="15.6" customHeight="1" x14ac:dyDescent="0.25">
      <c r="C64" s="1210"/>
      <c r="D64" s="689"/>
      <c r="E64" s="667"/>
      <c r="F64" s="603"/>
      <c r="G64" s="667">
        <f>F64/9*3</f>
        <v>0</v>
      </c>
      <c r="H64" s="667"/>
      <c r="I64" s="667"/>
      <c r="J64" s="667"/>
      <c r="K64" s="667"/>
      <c r="L64" s="1235"/>
      <c r="M64" s="1235"/>
      <c r="N64" s="1235"/>
      <c r="O64" s="1235"/>
      <c r="P64" s="1233"/>
      <c r="Q64" s="1233"/>
      <c r="R64" s="1233"/>
      <c r="S64" s="1233"/>
      <c r="W64" s="667"/>
      <c r="X64" s="961"/>
      <c r="Y64" s="81"/>
      <c r="Z64" s="81"/>
      <c r="AA64" s="81"/>
      <c r="AB64" s="81"/>
      <c r="AC64" s="1212">
        <f t="shared" si="4"/>
        <v>0</v>
      </c>
      <c r="AD64" s="81" t="str">
        <f t="shared" si="5"/>
        <v/>
      </c>
      <c r="AG64" s="81"/>
    </row>
    <row r="65" spans="3:33" s="1235" customFormat="1" ht="15.6" customHeight="1" x14ac:dyDescent="0.25">
      <c r="C65" s="1210">
        <v>711000.73</v>
      </c>
      <c r="D65" s="689" t="s">
        <v>609</v>
      </c>
      <c r="E65" s="667">
        <f>1800*12+2000</f>
        <v>23600</v>
      </c>
      <c r="F65" s="667">
        <v>16540</v>
      </c>
      <c r="G65" s="667">
        <f>F65/11</f>
        <v>1503.6363636363637</v>
      </c>
      <c r="H65" s="667">
        <f t="shared" ref="H65:H71" si="19">F65+G65</f>
        <v>18043.636363636364</v>
      </c>
      <c r="I65" s="667">
        <f>1800*12</f>
        <v>21600</v>
      </c>
      <c r="J65" s="667">
        <v>9997</v>
      </c>
      <c r="K65" s="667">
        <v>20800</v>
      </c>
      <c r="P65" s="608">
        <v>14905</v>
      </c>
      <c r="Q65" s="608">
        <v>18642</v>
      </c>
      <c r="R65" s="667">
        <v>19000</v>
      </c>
      <c r="S65" s="667">
        <v>19000</v>
      </c>
      <c r="W65" s="667">
        <v>21600</v>
      </c>
      <c r="X65" s="961"/>
      <c r="Y65" s="81">
        <f>10000+1800*6</f>
        <v>20800</v>
      </c>
      <c r="Z65" s="1212"/>
      <c r="AA65" s="1213"/>
      <c r="AB65" s="1213"/>
      <c r="AC65" s="1212">
        <f t="shared" si="4"/>
        <v>-800</v>
      </c>
      <c r="AD65" s="81"/>
      <c r="AG65" s="1213"/>
    </row>
    <row r="66" spans="3:33" s="1230" customFormat="1" ht="15.6" customHeight="1" x14ac:dyDescent="0.25">
      <c r="C66" s="1210">
        <v>711000.73499999999</v>
      </c>
      <c r="D66" s="689" t="s">
        <v>610</v>
      </c>
      <c r="E66" s="667">
        <f>3000*12</f>
        <v>36000</v>
      </c>
      <c r="F66" s="667">
        <v>24254</v>
      </c>
      <c r="G66" s="667">
        <f>F66/11</f>
        <v>2204.909090909091</v>
      </c>
      <c r="H66" s="667">
        <f t="shared" si="19"/>
        <v>26458.909090909092</v>
      </c>
      <c r="I66" s="667">
        <v>36000</v>
      </c>
      <c r="J66" s="667">
        <v>11166</v>
      </c>
      <c r="K66" s="667">
        <v>36000</v>
      </c>
      <c r="P66" s="608">
        <v>22371</v>
      </c>
      <c r="Q66" s="608">
        <f>36480+2500</f>
        <v>38980</v>
      </c>
      <c r="R66" s="667">
        <v>39000</v>
      </c>
      <c r="S66" s="667">
        <v>39000</v>
      </c>
      <c r="W66" s="667">
        <v>36000</v>
      </c>
      <c r="X66" s="961"/>
      <c r="Y66" s="81">
        <v>36000</v>
      </c>
      <c r="Z66" s="1212"/>
      <c r="AA66" s="1213"/>
      <c r="AB66" s="1213"/>
      <c r="AC66" s="1212">
        <f t="shared" si="4"/>
        <v>0</v>
      </c>
      <c r="AD66" s="81"/>
      <c r="AG66" s="1213"/>
    </row>
    <row r="67" spans="3:33" s="1230" customFormat="1" ht="15.6" customHeight="1" x14ac:dyDescent="0.25">
      <c r="C67" s="1215">
        <v>711100.11</v>
      </c>
      <c r="D67" s="1216" t="s">
        <v>611</v>
      </c>
      <c r="E67" s="1217">
        <f>מוניצ!I36</f>
        <v>116168</v>
      </c>
      <c r="F67" s="1217">
        <v>97784</v>
      </c>
      <c r="G67" s="1217">
        <f>F67/10*2</f>
        <v>19556.8</v>
      </c>
      <c r="H67" s="1217">
        <f t="shared" si="19"/>
        <v>117340.8</v>
      </c>
      <c r="I67" s="1217">
        <f>מוניצ!K36</f>
        <v>120000</v>
      </c>
      <c r="J67" s="1217">
        <v>63792</v>
      </c>
      <c r="K67" s="1217">
        <f>מוניצ!K36</f>
        <v>120000</v>
      </c>
      <c r="P67" s="1217">
        <f>שכר!AG38</f>
        <v>94934.42</v>
      </c>
      <c r="Q67" s="1217">
        <v>123255</v>
      </c>
      <c r="R67" s="1217">
        <f>שכר!AM38</f>
        <v>222747.08240000001</v>
      </c>
      <c r="S67" s="1217">
        <f>R67*1.02</f>
        <v>227202.02404800002</v>
      </c>
      <c r="T67" s="1217" t="e">
        <f>שכר!#REF!</f>
        <v>#REF!</v>
      </c>
      <c r="U67" s="1217" t="e">
        <f>שכר!#REF!</f>
        <v>#REF!</v>
      </c>
      <c r="V67" s="1217" t="e">
        <f>שכר!#REF!</f>
        <v>#REF!</v>
      </c>
      <c r="W67" s="1217" t="e">
        <f>שכר!#REF!</f>
        <v>#REF!</v>
      </c>
      <c r="X67" s="1217" t="e">
        <f>שכר!#REF!</f>
        <v>#REF!</v>
      </c>
      <c r="Y67" s="1217" t="e">
        <f>שכר!#REF!</f>
        <v>#REF!</v>
      </c>
      <c r="Z67" s="1217" t="e">
        <f>שכר!#REF!</f>
        <v>#REF!</v>
      </c>
      <c r="AA67" s="1217" t="e">
        <f>שכר!#REF!</f>
        <v>#REF!</v>
      </c>
      <c r="AB67" s="1217" t="e">
        <f>שכר!#REF!</f>
        <v>#REF!</v>
      </c>
      <c r="AC67" s="1217" t="e">
        <f>שכר!#REF!</f>
        <v>#REF!</v>
      </c>
      <c r="AD67" s="81" t="str">
        <f t="shared" si="5"/>
        <v>7111</v>
      </c>
      <c r="AG67" s="1213"/>
    </row>
    <row r="68" spans="3:33" s="1230" customFormat="1" ht="15.6" customHeight="1" x14ac:dyDescent="0.25">
      <c r="C68" s="1215">
        <v>712200.11</v>
      </c>
      <c r="D68" s="1216" t="s">
        <v>612</v>
      </c>
      <c r="E68" s="1217">
        <f>מוניצ!I38</f>
        <v>89705</v>
      </c>
      <c r="F68" s="1217">
        <v>73558</v>
      </c>
      <c r="G68" s="1217">
        <f>F68/10*2</f>
        <v>14711.6</v>
      </c>
      <c r="H68" s="1217">
        <f t="shared" si="19"/>
        <v>88269.6</v>
      </c>
      <c r="I68" s="1217">
        <v>86000</v>
      </c>
      <c r="J68" s="1217">
        <v>49452</v>
      </c>
      <c r="K68" s="1217">
        <f>מוניצ!K38</f>
        <v>90000</v>
      </c>
      <c r="P68" s="1217">
        <f>שכר!AG40</f>
        <v>73873.820000000007</v>
      </c>
      <c r="Q68" s="1217">
        <v>97044</v>
      </c>
      <c r="R68" s="1217">
        <f>שכר!AM40</f>
        <v>98685.326400000005</v>
      </c>
      <c r="S68" s="1217">
        <f>1.02*R68</f>
        <v>100659.032928</v>
      </c>
      <c r="W68" s="1217">
        <f>מוניצ!AH38</f>
        <v>0</v>
      </c>
      <c r="X68" s="961"/>
      <c r="Y68" s="81"/>
      <c r="Z68" s="1212"/>
      <c r="AA68" s="1213"/>
      <c r="AB68" s="81"/>
      <c r="AC68" s="1212">
        <f t="shared" si="4"/>
        <v>4000</v>
      </c>
      <c r="AD68" s="81" t="str">
        <f t="shared" si="5"/>
        <v>7122</v>
      </c>
      <c r="AG68" s="1213"/>
    </row>
    <row r="69" spans="3:33" s="1230" customFormat="1" ht="15.6" customHeight="1" x14ac:dyDescent="0.25">
      <c r="C69" s="1210">
        <v>712300.75</v>
      </c>
      <c r="D69" s="689" t="s">
        <v>613</v>
      </c>
      <c r="E69" s="610">
        <f>370000*12</f>
        <v>4440000</v>
      </c>
      <c r="F69" s="667">
        <v>3938144</v>
      </c>
      <c r="G69" s="667">
        <f>F69/11+400000-200000</f>
        <v>558013.09090909082</v>
      </c>
      <c r="H69" s="667">
        <f t="shared" si="19"/>
        <v>4496157.0909090908</v>
      </c>
      <c r="I69" s="667">
        <v>4400000</v>
      </c>
      <c r="J69" s="667">
        <f>2008906+X69</f>
        <v>2408906</v>
      </c>
      <c r="K69" s="667">
        <v>4400000</v>
      </c>
      <c r="L69" s="1230" t="s">
        <v>572</v>
      </c>
      <c r="P69" s="608">
        <f>3212514+350000</f>
        <v>3562514</v>
      </c>
      <c r="Q69" s="608">
        <v>4778339</v>
      </c>
      <c r="R69" s="667">
        <v>4780000</v>
      </c>
      <c r="S69" s="667">
        <v>4780000</v>
      </c>
      <c r="W69" s="1224">
        <v>4400000</v>
      </c>
      <c r="X69" s="961">
        <v>400000</v>
      </c>
      <c r="Y69" s="81">
        <v>4400000</v>
      </c>
      <c r="Z69" s="1212"/>
      <c r="AA69" s="1213"/>
      <c r="AB69" s="1213"/>
      <c r="AC69" s="1212">
        <f t="shared" si="4"/>
        <v>0</v>
      </c>
      <c r="AD69" s="81"/>
      <c r="AG69" s="1213"/>
    </row>
    <row r="70" spans="3:33" s="1230" customFormat="1" ht="15.6" customHeight="1" x14ac:dyDescent="0.25">
      <c r="C70" s="1210">
        <v>712300.75100000005</v>
      </c>
      <c r="D70" s="689" t="s">
        <v>614</v>
      </c>
      <c r="E70" s="610">
        <f>3510*12*10</f>
        <v>421200</v>
      </c>
      <c r="F70" s="667">
        <v>408000</v>
      </c>
      <c r="G70" s="667">
        <f>F70/11</f>
        <v>37090.909090909088</v>
      </c>
      <c r="H70" s="667">
        <f t="shared" si="19"/>
        <v>445090.90909090906</v>
      </c>
      <c r="I70" s="610">
        <v>463320</v>
      </c>
      <c r="J70" s="667">
        <f>140400+X70</f>
        <v>170400</v>
      </c>
      <c r="K70" s="667">
        <v>336960</v>
      </c>
      <c r="L70" s="1230" t="s">
        <v>20</v>
      </c>
      <c r="P70" s="608">
        <f>231660+28000</f>
        <v>259660</v>
      </c>
      <c r="Q70" s="608">
        <v>287820</v>
      </c>
      <c r="R70" s="667">
        <f>8*3300*12</f>
        <v>316800</v>
      </c>
      <c r="S70" s="667">
        <v>0</v>
      </c>
      <c r="W70" s="1211">
        <v>0</v>
      </c>
      <c r="X70" s="961">
        <v>30000</v>
      </c>
      <c r="Y70" s="81">
        <f>28080*12</f>
        <v>336960</v>
      </c>
      <c r="Z70" s="1212"/>
      <c r="AA70" s="1213"/>
      <c r="AB70" s="1213"/>
      <c r="AC70" s="1212">
        <f t="shared" si="4"/>
        <v>-126360</v>
      </c>
      <c r="AD70" s="81"/>
      <c r="AG70" s="1213"/>
    </row>
    <row r="71" spans="3:33" s="1230" customFormat="1" ht="15.6" customHeight="1" x14ac:dyDescent="0.25">
      <c r="C71" s="1215">
        <v>713000.11</v>
      </c>
      <c r="D71" s="1216" t="s">
        <v>615</v>
      </c>
      <c r="E71" s="1217">
        <f>מוניצ!I41</f>
        <v>205329</v>
      </c>
      <c r="F71" s="1217">
        <v>155872</v>
      </c>
      <c r="G71" s="1217">
        <f>F71/10*2</f>
        <v>31174.400000000001</v>
      </c>
      <c r="H71" s="1217">
        <f t="shared" si="19"/>
        <v>187046.39999999999</v>
      </c>
      <c r="I71" s="1217">
        <v>230000</v>
      </c>
      <c r="J71" s="1217">
        <v>143495</v>
      </c>
      <c r="K71" s="1217">
        <f>מוניצ!K41</f>
        <v>200083</v>
      </c>
      <c r="L71" s="1230" t="s">
        <v>616</v>
      </c>
      <c r="P71" s="1217">
        <f>שכר!AG43</f>
        <v>192495.32</v>
      </c>
      <c r="Q71" s="1217">
        <v>192998</v>
      </c>
      <c r="R71" s="1217">
        <f>שכר!AM43</f>
        <v>0</v>
      </c>
      <c r="S71" s="1217">
        <f>R71</f>
        <v>0</v>
      </c>
      <c r="W71" s="1217">
        <f>מוניצ!AH41</f>
        <v>0</v>
      </c>
      <c r="X71" s="961"/>
      <c r="Y71" s="81"/>
      <c r="Z71" s="1212"/>
      <c r="AA71" s="1213"/>
      <c r="AB71" s="1213"/>
      <c r="AC71" s="1212">
        <f t="shared" si="4"/>
        <v>-29917</v>
      </c>
      <c r="AD71" s="81" t="str">
        <f t="shared" si="5"/>
        <v>7130</v>
      </c>
      <c r="AG71" s="1213"/>
    </row>
    <row r="72" spans="3:33" s="1230" customFormat="1" ht="15.6" customHeight="1" x14ac:dyDescent="0.25">
      <c r="C72" s="1210">
        <v>713000.72</v>
      </c>
      <c r="D72" s="689"/>
      <c r="E72" s="667"/>
      <c r="F72" s="667"/>
      <c r="G72" s="667"/>
      <c r="H72" s="667"/>
      <c r="I72" s="667"/>
      <c r="J72" s="667"/>
      <c r="K72" s="667"/>
      <c r="P72" s="608"/>
      <c r="Q72" s="608"/>
      <c r="R72" s="667"/>
      <c r="S72" s="667"/>
      <c r="W72" s="667">
        <v>45000</v>
      </c>
      <c r="X72" s="961"/>
      <c r="Y72" s="81">
        <v>45000</v>
      </c>
      <c r="Z72" s="1212"/>
      <c r="AA72" s="1213"/>
      <c r="AB72" s="1213"/>
      <c r="AC72" s="1212">
        <f t="shared" ref="AC72:AC148" si="20">K72-I72</f>
        <v>0</v>
      </c>
      <c r="AD72" s="81"/>
      <c r="AG72" s="1213"/>
    </row>
    <row r="73" spans="3:33" s="1230" customFormat="1" ht="15.6" customHeight="1" x14ac:dyDescent="0.25">
      <c r="C73" s="1210">
        <v>713000.75</v>
      </c>
      <c r="D73" s="689"/>
      <c r="E73" s="667"/>
      <c r="F73" s="610"/>
      <c r="G73" s="667"/>
      <c r="H73" s="667"/>
      <c r="I73" s="667"/>
      <c r="J73" s="667"/>
      <c r="K73" s="667"/>
      <c r="P73" s="608"/>
      <c r="Q73" s="608"/>
      <c r="R73" s="667"/>
      <c r="S73" s="667"/>
      <c r="W73" s="667">
        <v>30000</v>
      </c>
      <c r="X73" s="961"/>
      <c r="Y73" s="81">
        <v>30000</v>
      </c>
      <c r="Z73" s="1212"/>
      <c r="AA73" s="1213"/>
      <c r="AB73" s="81"/>
      <c r="AC73" s="1212">
        <f t="shared" si="20"/>
        <v>0</v>
      </c>
      <c r="AD73" s="81"/>
      <c r="AG73" s="1213"/>
    </row>
    <row r="74" spans="3:33" s="1230" customFormat="1" ht="15.6" customHeight="1" x14ac:dyDescent="0.25">
      <c r="C74" s="1210">
        <v>713000.75100000005</v>
      </c>
      <c r="D74" s="689"/>
      <c r="E74" s="667"/>
      <c r="F74" s="610"/>
      <c r="G74" s="667"/>
      <c r="H74" s="667"/>
      <c r="I74" s="667"/>
      <c r="J74" s="667"/>
      <c r="K74" s="667"/>
      <c r="P74" s="608"/>
      <c r="Q74" s="608"/>
      <c r="R74" s="667"/>
      <c r="S74" s="667"/>
      <c r="T74" s="667">
        <v>100000</v>
      </c>
      <c r="U74" s="667">
        <v>100000</v>
      </c>
      <c r="V74" s="667">
        <v>100000</v>
      </c>
      <c r="W74" s="667">
        <v>100000</v>
      </c>
      <c r="X74" s="667">
        <v>100000</v>
      </c>
      <c r="Y74" s="667">
        <v>100000</v>
      </c>
      <c r="Z74" s="667">
        <v>100000</v>
      </c>
      <c r="AA74" s="667">
        <v>100000</v>
      </c>
      <c r="AB74" s="667">
        <v>100000</v>
      </c>
      <c r="AC74" s="667">
        <v>100000</v>
      </c>
      <c r="AD74" s="667">
        <v>100000</v>
      </c>
      <c r="AE74" s="667">
        <v>100000</v>
      </c>
      <c r="AG74" s="1213"/>
    </row>
    <row r="75" spans="3:33" s="1230" customFormat="1" ht="15.6" customHeight="1" x14ac:dyDescent="0.25">
      <c r="C75" s="1215">
        <v>713300.11</v>
      </c>
      <c r="D75" s="1216" t="s">
        <v>620</v>
      </c>
      <c r="E75" s="1217">
        <f>מוניצ!I43</f>
        <v>0</v>
      </c>
      <c r="F75" s="1217">
        <v>0</v>
      </c>
      <c r="G75" s="1217">
        <f>F75/10*2</f>
        <v>0</v>
      </c>
      <c r="H75" s="1217">
        <f>F75+G75</f>
        <v>0</v>
      </c>
      <c r="I75" s="1217">
        <v>60000</v>
      </c>
      <c r="J75" s="1217">
        <v>0</v>
      </c>
      <c r="K75" s="1217">
        <f>מוניצ!K43</f>
        <v>30000</v>
      </c>
      <c r="P75" s="1217">
        <f>שכר!AG45</f>
        <v>0</v>
      </c>
      <c r="Q75" s="1217">
        <f>שכר!AI45</f>
        <v>0</v>
      </c>
      <c r="R75" s="1217">
        <f>שכר!AM45</f>
        <v>0</v>
      </c>
      <c r="S75" s="1217">
        <v>0</v>
      </c>
      <c r="W75" s="1217">
        <f>מוניצ!AH43</f>
        <v>0</v>
      </c>
      <c r="X75" s="961"/>
      <c r="Y75" s="81"/>
      <c r="Z75" s="1212"/>
      <c r="AA75" s="81"/>
      <c r="AB75" s="1213"/>
      <c r="AC75" s="1212">
        <f t="shared" si="20"/>
        <v>-30000</v>
      </c>
      <c r="AD75" s="81" t="str">
        <f t="shared" si="5"/>
        <v>7133</v>
      </c>
      <c r="AG75" s="81"/>
    </row>
    <row r="76" spans="3:33" s="1230" customFormat="1" ht="15.6" customHeight="1" x14ac:dyDescent="0.25">
      <c r="C76" s="1215">
        <v>714100.11</v>
      </c>
      <c r="D76" s="1216" t="s">
        <v>621</v>
      </c>
      <c r="E76" s="1217">
        <f>מוניצ!I45</f>
        <v>89558</v>
      </c>
      <c r="F76" s="1217">
        <v>73119</v>
      </c>
      <c r="G76" s="1217">
        <f>F76/10*2</f>
        <v>14623.8</v>
      </c>
      <c r="H76" s="1217">
        <f>F76+G76</f>
        <v>87742.8</v>
      </c>
      <c r="I76" s="1217">
        <v>100000</v>
      </c>
      <c r="J76" s="1217">
        <v>49842</v>
      </c>
      <c r="K76" s="1217">
        <f>מוניצ!K45</f>
        <v>90000</v>
      </c>
      <c r="P76" s="1217">
        <f>שכר!AG47</f>
        <v>76403.960000000006</v>
      </c>
      <c r="Q76" s="1217">
        <v>102514</v>
      </c>
      <c r="R76" s="1217">
        <f>שכר!AM47</f>
        <v>100962.57840000001</v>
      </c>
      <c r="S76" s="1217">
        <f>R76*1.02</f>
        <v>102981.82996800002</v>
      </c>
      <c r="W76" s="1217">
        <f>מוניצ!AH45</f>
        <v>0</v>
      </c>
      <c r="X76" s="961"/>
      <c r="Y76" s="81"/>
      <c r="Z76" s="1212"/>
      <c r="AA76" s="1213"/>
      <c r="AB76" s="1213"/>
      <c r="AC76" s="1212">
        <f t="shared" si="20"/>
        <v>-10000</v>
      </c>
      <c r="AD76" s="81" t="str">
        <f t="shared" si="5"/>
        <v>7141</v>
      </c>
      <c r="AG76" s="1213"/>
    </row>
    <row r="77" spans="3:33" s="1230" customFormat="1" ht="15.6" customHeight="1" x14ac:dyDescent="0.25">
      <c r="C77" s="1210">
        <v>714300.72</v>
      </c>
      <c r="D77" s="689" t="s">
        <v>622</v>
      </c>
      <c r="E77" s="667">
        <v>7300</v>
      </c>
      <c r="F77" s="667">
        <v>5722</v>
      </c>
      <c r="G77" s="667">
        <f>F77/11</f>
        <v>520.18181818181813</v>
      </c>
      <c r="H77" s="667">
        <f>F77+G77</f>
        <v>6242.181818181818</v>
      </c>
      <c r="I77" s="667">
        <f>F77*2</f>
        <v>11444</v>
      </c>
      <c r="J77" s="667">
        <v>1941</v>
      </c>
      <c r="K77" s="667">
        <v>11500</v>
      </c>
      <c r="P77" s="608">
        <v>8530</v>
      </c>
      <c r="Q77" s="608">
        <v>8579</v>
      </c>
      <c r="R77" s="667">
        <v>30000</v>
      </c>
      <c r="S77" s="667">
        <v>30000</v>
      </c>
      <c r="W77" s="667">
        <v>5520</v>
      </c>
      <c r="X77" s="961"/>
      <c r="Y77" s="81">
        <v>11500</v>
      </c>
      <c r="Z77" s="1212"/>
      <c r="AA77" s="1213"/>
      <c r="AB77" s="1213"/>
      <c r="AC77" s="1212">
        <f t="shared" si="20"/>
        <v>56</v>
      </c>
      <c r="AD77" s="81"/>
      <c r="AG77" s="1213"/>
    </row>
    <row r="78" spans="3:33" s="1230" customFormat="1" ht="15.6" customHeight="1" x14ac:dyDescent="0.25">
      <c r="C78" s="1210">
        <v>715200.72</v>
      </c>
      <c r="D78" s="689" t="s">
        <v>623</v>
      </c>
      <c r="E78" s="667">
        <v>12000</v>
      </c>
      <c r="F78" s="667">
        <v>6600</v>
      </c>
      <c r="G78" s="667">
        <f>F78/11</f>
        <v>600</v>
      </c>
      <c r="H78" s="667">
        <f>F78+G78</f>
        <v>7200</v>
      </c>
      <c r="I78" s="667">
        <v>12000</v>
      </c>
      <c r="J78" s="667">
        <v>0</v>
      </c>
      <c r="K78" s="667">
        <v>12000</v>
      </c>
      <c r="P78" s="608">
        <v>9552</v>
      </c>
      <c r="Q78" s="608">
        <v>9552</v>
      </c>
      <c r="R78" s="667">
        <v>15000</v>
      </c>
      <c r="S78" s="667">
        <v>15000</v>
      </c>
      <c r="W78" s="667">
        <v>12000</v>
      </c>
      <c r="X78" s="961"/>
      <c r="Y78" s="81">
        <v>12000</v>
      </c>
      <c r="Z78" s="1212"/>
      <c r="AA78" s="1213"/>
      <c r="AB78" s="1213"/>
      <c r="AC78" s="1212">
        <f t="shared" si="20"/>
        <v>0</v>
      </c>
      <c r="AD78" s="81"/>
      <c r="AG78" s="1213"/>
    </row>
    <row r="79" spans="3:33" s="1226" customFormat="1" ht="19.5" customHeight="1" x14ac:dyDescent="0.25">
      <c r="C79" s="1238" t="s">
        <v>624</v>
      </c>
      <c r="D79" s="1239" t="s">
        <v>625</v>
      </c>
      <c r="E79" s="695">
        <f t="shared" ref="E79:S79" si="21">SUM(E65:E78)</f>
        <v>5440860</v>
      </c>
      <c r="F79" s="695">
        <f t="shared" si="21"/>
        <v>4799593</v>
      </c>
      <c r="G79" s="695">
        <f t="shared" si="21"/>
        <v>679999.32727272715</v>
      </c>
      <c r="H79" s="695">
        <f t="shared" si="21"/>
        <v>5479592.3272727272</v>
      </c>
      <c r="I79" s="695">
        <f t="shared" si="21"/>
        <v>5540364</v>
      </c>
      <c r="J79" s="695">
        <f t="shared" si="21"/>
        <v>2908991</v>
      </c>
      <c r="K79" s="695">
        <f t="shared" si="21"/>
        <v>5347343</v>
      </c>
      <c r="L79" s="695">
        <f t="shared" si="21"/>
        <v>0</v>
      </c>
      <c r="M79" s="695">
        <f t="shared" si="21"/>
        <v>0</v>
      </c>
      <c r="N79" s="695">
        <f t="shared" si="21"/>
        <v>0</v>
      </c>
      <c r="O79" s="695">
        <f t="shared" si="21"/>
        <v>0</v>
      </c>
      <c r="P79" s="695">
        <f t="shared" si="21"/>
        <v>4315239.5200000005</v>
      </c>
      <c r="Q79" s="695">
        <f t="shared" si="21"/>
        <v>5657723</v>
      </c>
      <c r="R79" s="695">
        <f t="shared" si="21"/>
        <v>5622194.9872000003</v>
      </c>
      <c r="S79" s="695">
        <f t="shared" si="21"/>
        <v>5313842.8869439997</v>
      </c>
      <c r="T79" s="695" t="e">
        <f t="shared" ref="T79:AC79" si="22">SUM(T65:T78)</f>
        <v>#REF!</v>
      </c>
      <c r="U79" s="695" t="e">
        <f t="shared" si="22"/>
        <v>#REF!</v>
      </c>
      <c r="V79" s="695" t="e">
        <f t="shared" si="22"/>
        <v>#REF!</v>
      </c>
      <c r="W79" s="695" t="e">
        <f t="shared" si="22"/>
        <v>#REF!</v>
      </c>
      <c r="X79" s="695" t="e">
        <f t="shared" si="22"/>
        <v>#REF!</v>
      </c>
      <c r="Y79" s="695" t="e">
        <f t="shared" si="22"/>
        <v>#REF!</v>
      </c>
      <c r="Z79" s="695" t="e">
        <f t="shared" si="22"/>
        <v>#REF!</v>
      </c>
      <c r="AA79" s="695" t="e">
        <f t="shared" si="22"/>
        <v>#REF!</v>
      </c>
      <c r="AB79" s="695" t="e">
        <f t="shared" si="22"/>
        <v>#REF!</v>
      </c>
      <c r="AC79" s="695" t="e">
        <f t="shared" si="22"/>
        <v>#REF!</v>
      </c>
      <c r="AD79" s="81" t="str">
        <f t="shared" si="5"/>
        <v>סה"כ</v>
      </c>
      <c r="AG79" s="1213"/>
    </row>
    <row r="80" spans="3:33" s="1230" customFormat="1" ht="15.6" customHeight="1" x14ac:dyDescent="0.25">
      <c r="C80" s="1210"/>
      <c r="D80" s="689"/>
      <c r="E80" s="667"/>
      <c r="F80" s="603"/>
      <c r="G80" s="667">
        <f>F80/9*3</f>
        <v>0</v>
      </c>
      <c r="H80" s="667"/>
      <c r="I80" s="667"/>
      <c r="J80" s="667"/>
      <c r="K80" s="667"/>
      <c r="P80" s="1233"/>
      <c r="Q80" s="1233"/>
      <c r="R80" s="1233"/>
      <c r="S80" s="1233"/>
      <c r="W80" s="667"/>
      <c r="X80" s="961"/>
      <c r="Y80" s="81"/>
      <c r="Z80" s="1212"/>
      <c r="AA80" s="1213"/>
      <c r="AB80" s="1213"/>
      <c r="AC80" s="1212">
        <f t="shared" si="20"/>
        <v>0</v>
      </c>
      <c r="AD80" s="81" t="str">
        <f t="shared" ref="AD80:AD153" si="23">LEFT(C80,4)</f>
        <v/>
      </c>
      <c r="AG80" s="1213"/>
    </row>
    <row r="81" spans="3:33" s="1230" customFormat="1" ht="15.6" customHeight="1" x14ac:dyDescent="0.25">
      <c r="C81" s="1215">
        <v>721000.11</v>
      </c>
      <c r="D81" s="1216" t="s">
        <v>1809</v>
      </c>
      <c r="E81" s="1217">
        <v>0</v>
      </c>
      <c r="F81" s="1244"/>
      <c r="G81" s="1217"/>
      <c r="H81" s="1217">
        <v>0</v>
      </c>
      <c r="I81" s="1217">
        <v>0</v>
      </c>
      <c r="J81" s="1217">
        <v>18692</v>
      </c>
      <c r="K81" s="1217">
        <f>מוניצ!K47</f>
        <v>60000</v>
      </c>
      <c r="L81" s="1245"/>
      <c r="M81" s="1245"/>
      <c r="N81" s="1245"/>
      <c r="O81" s="1245"/>
      <c r="P81" s="1217">
        <f>שכר!AG49</f>
        <v>49474.12</v>
      </c>
      <c r="Q81" s="1217">
        <v>80904</v>
      </c>
      <c r="R81" s="1217">
        <f>שכר!AM49</f>
        <v>110409.4662</v>
      </c>
      <c r="S81" s="1217">
        <f>R81*1.02</f>
        <v>112617.655524</v>
      </c>
      <c r="T81" s="1245"/>
      <c r="U81" s="1245"/>
      <c r="V81" s="1245"/>
      <c r="W81" s="1217">
        <f>מוניצ!AH47</f>
        <v>0</v>
      </c>
      <c r="X81" s="961"/>
      <c r="Y81" s="81"/>
      <c r="Z81" s="81"/>
      <c r="AA81" s="81"/>
      <c r="AB81" s="81"/>
      <c r="AC81" s="1212">
        <f t="shared" si="20"/>
        <v>60000</v>
      </c>
      <c r="AD81" s="81" t="str">
        <f t="shared" si="23"/>
        <v>7210</v>
      </c>
      <c r="AG81" s="81"/>
    </row>
    <row r="82" spans="3:33" s="1230" customFormat="1" ht="15.6" customHeight="1" x14ac:dyDescent="0.25">
      <c r="C82" s="1236">
        <v>721000.73</v>
      </c>
      <c r="D82" s="1237" t="s">
        <v>3157</v>
      </c>
      <c r="E82" s="610"/>
      <c r="F82" s="603"/>
      <c r="G82" s="610"/>
      <c r="H82" s="610"/>
      <c r="I82" s="610"/>
      <c r="J82" s="610"/>
      <c r="K82" s="610"/>
      <c r="P82" s="610"/>
      <c r="Q82" s="610"/>
      <c r="R82" s="610"/>
      <c r="S82" s="1225">
        <v>0</v>
      </c>
      <c r="T82" s="1245"/>
      <c r="U82" s="1245"/>
      <c r="V82" s="1245"/>
      <c r="W82" s="1217"/>
      <c r="X82" s="961"/>
      <c r="Y82" s="81"/>
      <c r="Z82" s="81"/>
      <c r="AA82" s="81"/>
      <c r="AB82" s="81"/>
      <c r="AC82" s="1212"/>
      <c r="AD82" s="81"/>
      <c r="AG82" s="81"/>
    </row>
    <row r="83" spans="3:33" s="1230" customFormat="1" ht="15.6" customHeight="1" x14ac:dyDescent="0.25">
      <c r="C83" s="1210">
        <v>721000.75</v>
      </c>
      <c r="D83" s="689" t="s">
        <v>626</v>
      </c>
      <c r="E83" s="667">
        <v>1423055</v>
      </c>
      <c r="F83" s="667">
        <v>793408</v>
      </c>
      <c r="G83" s="667">
        <f>F83/11+120000+132000+127000+170000</f>
        <v>621128</v>
      </c>
      <c r="H83" s="667">
        <f>F83+G83</f>
        <v>1414536</v>
      </c>
      <c r="I83" s="667">
        <f>120000*12+50000</f>
        <v>1490000</v>
      </c>
      <c r="J83" s="667">
        <f>485428+Y83</f>
        <v>745428</v>
      </c>
      <c r="K83" s="667">
        <f>J83*2</f>
        <v>1490856</v>
      </c>
      <c r="P83" s="608">
        <f>1052381+140000</f>
        <v>1192381</v>
      </c>
      <c r="Q83" s="608">
        <v>1360414</v>
      </c>
      <c r="R83" s="1225">
        <v>0</v>
      </c>
      <c r="S83" s="1225">
        <v>0</v>
      </c>
      <c r="W83" s="1224">
        <f>120000*12+50000</f>
        <v>1490000</v>
      </c>
      <c r="X83" s="961"/>
      <c r="Y83" s="81">
        <f>130000*2</f>
        <v>260000</v>
      </c>
      <c r="Z83" s="1212"/>
      <c r="AA83" s="1213"/>
      <c r="AB83" s="1213"/>
      <c r="AC83" s="1212">
        <f t="shared" si="20"/>
        <v>856</v>
      </c>
      <c r="AD83" s="81"/>
      <c r="AG83" s="1213"/>
    </row>
    <row r="84" spans="3:33" s="1230" customFormat="1" ht="15.6" customHeight="1" x14ac:dyDescent="0.25">
      <c r="C84" s="1210">
        <v>722100.41</v>
      </c>
      <c r="D84" s="689" t="s">
        <v>627</v>
      </c>
      <c r="E84" s="610">
        <v>27000</v>
      </c>
      <c r="F84" s="610">
        <v>24750</v>
      </c>
      <c r="G84" s="667">
        <f>F84/11</f>
        <v>2250</v>
      </c>
      <c r="H84" s="667">
        <f>F84+G84</f>
        <v>27000</v>
      </c>
      <c r="I84" s="610">
        <v>27000</v>
      </c>
      <c r="J84" s="610">
        <v>13500</v>
      </c>
      <c r="K84" s="667">
        <f>J84*2</f>
        <v>27000</v>
      </c>
      <c r="P84" s="608">
        <v>20250</v>
      </c>
      <c r="Q84" s="608">
        <f>P84/9*12</f>
        <v>27000</v>
      </c>
      <c r="R84" s="1225">
        <v>27000</v>
      </c>
      <c r="S84" s="1225">
        <v>27000</v>
      </c>
      <c r="W84" s="610">
        <v>27000</v>
      </c>
      <c r="X84" s="961"/>
      <c r="Y84" s="81"/>
      <c r="Z84" s="1212"/>
      <c r="AA84" s="1213"/>
      <c r="AB84" s="1213"/>
      <c r="AC84" s="1212">
        <f t="shared" si="20"/>
        <v>0</v>
      </c>
      <c r="AD84" s="81"/>
      <c r="AG84" s="1213"/>
    </row>
    <row r="85" spans="3:33" s="1230" customFormat="1" ht="15.6" customHeight="1" x14ac:dyDescent="0.25">
      <c r="C85" s="1210">
        <v>723000.83</v>
      </c>
      <c r="D85" s="689" t="s">
        <v>628</v>
      </c>
      <c r="E85" s="610">
        <v>70052</v>
      </c>
      <c r="F85" s="610">
        <v>70052</v>
      </c>
      <c r="G85" s="667">
        <f>F85/11</f>
        <v>6368.363636363636</v>
      </c>
      <c r="H85" s="667">
        <f>F85+G85</f>
        <v>76420.363636363632</v>
      </c>
      <c r="I85" s="610">
        <v>140104</v>
      </c>
      <c r="J85" s="610">
        <v>70052</v>
      </c>
      <c r="K85" s="667">
        <v>70052</v>
      </c>
      <c r="P85" s="608">
        <v>52539</v>
      </c>
      <c r="Q85" s="608">
        <v>70052</v>
      </c>
      <c r="R85" s="1225">
        <v>72453</v>
      </c>
      <c r="S85" s="1225">
        <v>72453</v>
      </c>
      <c r="W85" s="610">
        <v>70052</v>
      </c>
      <c r="X85" s="961"/>
      <c r="Y85" s="81">
        <v>70052</v>
      </c>
      <c r="Z85" s="1212"/>
      <c r="AA85" s="1213"/>
      <c r="AB85" s="1213"/>
      <c r="AC85" s="1212">
        <f t="shared" si="20"/>
        <v>-70052</v>
      </c>
      <c r="AD85" s="81"/>
      <c r="AG85" s="1213"/>
    </row>
    <row r="86" spans="3:33" s="1230" customFormat="1" ht="15.6" customHeight="1" x14ac:dyDescent="0.25">
      <c r="C86" s="1210">
        <v>723100.83</v>
      </c>
      <c r="D86" s="689" t="s">
        <v>629</v>
      </c>
      <c r="E86" s="610">
        <v>160893</v>
      </c>
      <c r="F86" s="610">
        <v>21343</v>
      </c>
      <c r="G86" s="667">
        <f>F86/11+137000</f>
        <v>138940.27272727274</v>
      </c>
      <c r="H86" s="667">
        <f>F86+G86</f>
        <v>160283.27272727274</v>
      </c>
      <c r="I86" s="610">
        <v>160893</v>
      </c>
      <c r="J86" s="610">
        <v>0</v>
      </c>
      <c r="K86" s="667">
        <v>160839</v>
      </c>
      <c r="P86" s="608">
        <v>35660</v>
      </c>
      <c r="Q86" s="608">
        <v>44058</v>
      </c>
      <c r="R86" s="1225">
        <v>206674</v>
      </c>
      <c r="S86" s="1225">
        <v>206674</v>
      </c>
      <c r="W86" s="610">
        <v>160893</v>
      </c>
      <c r="X86" s="961"/>
      <c r="Y86" s="81">
        <v>160839</v>
      </c>
      <c r="Z86" s="1212"/>
      <c r="AA86" s="1213"/>
      <c r="AB86" s="1213"/>
      <c r="AC86" s="1212">
        <f t="shared" si="20"/>
        <v>-54</v>
      </c>
      <c r="AD86" s="81"/>
      <c r="AG86" s="1213"/>
    </row>
    <row r="87" spans="3:33" s="1230" customFormat="1" ht="15.6" customHeight="1" x14ac:dyDescent="0.25">
      <c r="C87" s="1210">
        <v>724000.83</v>
      </c>
      <c r="D87" s="689" t="s">
        <v>2070</v>
      </c>
      <c r="E87" s="610">
        <f>155671+10000</f>
        <v>165671</v>
      </c>
      <c r="F87" s="610">
        <v>155671</v>
      </c>
      <c r="G87" s="667">
        <f>F87/11</f>
        <v>14151.90909090909</v>
      </c>
      <c r="H87" s="667">
        <f>F87+G87</f>
        <v>169822.90909090909</v>
      </c>
      <c r="I87" s="610">
        <v>165671</v>
      </c>
      <c r="J87" s="610">
        <v>155200</v>
      </c>
      <c r="K87" s="667">
        <v>155200</v>
      </c>
      <c r="P87" s="608">
        <v>116400</v>
      </c>
      <c r="Q87" s="608">
        <v>155200</v>
      </c>
      <c r="R87" s="667">
        <v>155200</v>
      </c>
      <c r="S87" s="667">
        <v>0</v>
      </c>
      <c r="W87" s="610">
        <v>165671</v>
      </c>
      <c r="X87" s="961"/>
      <c r="Y87" s="81">
        <v>155200</v>
      </c>
      <c r="Z87" s="81"/>
      <c r="AA87" s="81"/>
      <c r="AB87" s="81"/>
      <c r="AC87" s="1212">
        <f t="shared" si="20"/>
        <v>-10471</v>
      </c>
      <c r="AD87" s="81"/>
      <c r="AG87" s="81"/>
    </row>
    <row r="88" spans="3:33" s="1230" customFormat="1" ht="15.6" customHeight="1" x14ac:dyDescent="0.25">
      <c r="C88" s="1210">
        <v>725000.75</v>
      </c>
      <c r="D88" s="689" t="s">
        <v>3269</v>
      </c>
      <c r="E88" s="610">
        <v>0</v>
      </c>
      <c r="F88" s="610">
        <v>0</v>
      </c>
      <c r="G88" s="610">
        <v>0</v>
      </c>
      <c r="H88" s="610">
        <v>0</v>
      </c>
      <c r="I88" s="610">
        <v>0</v>
      </c>
      <c r="J88" s="610">
        <v>0</v>
      </c>
      <c r="K88" s="610">
        <v>0</v>
      </c>
      <c r="L88" s="610">
        <v>0</v>
      </c>
      <c r="M88" s="610">
        <v>0</v>
      </c>
      <c r="N88" s="610">
        <v>0</v>
      </c>
      <c r="O88" s="610">
        <v>0</v>
      </c>
      <c r="P88" s="610">
        <v>0</v>
      </c>
      <c r="Q88" s="610">
        <v>0</v>
      </c>
      <c r="R88" s="667">
        <f>6500*12</f>
        <v>78000</v>
      </c>
      <c r="S88" s="667">
        <f>6500*12</f>
        <v>78000</v>
      </c>
      <c r="W88" s="610"/>
      <c r="X88" s="961"/>
      <c r="Y88" s="81"/>
      <c r="Z88" s="81"/>
      <c r="AA88" s="81"/>
      <c r="AB88" s="81"/>
      <c r="AC88" s="1212"/>
      <c r="AD88" s="81"/>
      <c r="AG88" s="81"/>
    </row>
    <row r="89" spans="3:33" s="1226" customFormat="1" ht="18.75" customHeight="1" x14ac:dyDescent="0.25">
      <c r="C89" s="1238" t="s">
        <v>631</v>
      </c>
      <c r="D89" s="1239" t="s">
        <v>632</v>
      </c>
      <c r="E89" s="695">
        <f>SUM(E83:E88)</f>
        <v>1846671</v>
      </c>
      <c r="F89" s="695">
        <f>SUM(F83:F87)</f>
        <v>1065224</v>
      </c>
      <c r="G89" s="695">
        <f>SUM(G83:G87)</f>
        <v>782838.54545454541</v>
      </c>
      <c r="H89" s="695">
        <f>SUM(H83:H87)</f>
        <v>1848062.5454545454</v>
      </c>
      <c r="I89" s="695">
        <f>SUM(I83:I87)</f>
        <v>1983668</v>
      </c>
      <c r="J89" s="695">
        <f t="shared" ref="J89:Q89" si="24">SUM(J81:J87)</f>
        <v>1002872</v>
      </c>
      <c r="K89" s="695">
        <f t="shared" si="24"/>
        <v>1963947</v>
      </c>
      <c r="L89" s="695">
        <f t="shared" si="24"/>
        <v>0</v>
      </c>
      <c r="M89" s="695">
        <f t="shared" si="24"/>
        <v>0</v>
      </c>
      <c r="N89" s="695">
        <f t="shared" si="24"/>
        <v>0</v>
      </c>
      <c r="O89" s="695">
        <f t="shared" si="24"/>
        <v>0</v>
      </c>
      <c r="P89" s="695">
        <f t="shared" si="24"/>
        <v>1466704.12</v>
      </c>
      <c r="Q89" s="695">
        <f t="shared" si="24"/>
        <v>1737628</v>
      </c>
      <c r="R89" s="695">
        <f>SUM(R81:R88)</f>
        <v>649736.46620000002</v>
      </c>
      <c r="S89" s="695">
        <f>SUM(S81:S88)</f>
        <v>496744.655524</v>
      </c>
      <c r="T89" s="695">
        <f t="shared" ref="T89:AC89" si="25">SUM(T81:T87)</f>
        <v>0</v>
      </c>
      <c r="U89" s="695">
        <f t="shared" si="25"/>
        <v>0</v>
      </c>
      <c r="V89" s="695">
        <f t="shared" si="25"/>
        <v>0</v>
      </c>
      <c r="W89" s="695">
        <f t="shared" si="25"/>
        <v>1913616</v>
      </c>
      <c r="X89" s="695">
        <f t="shared" si="25"/>
        <v>0</v>
      </c>
      <c r="Y89" s="695">
        <f t="shared" si="25"/>
        <v>646091</v>
      </c>
      <c r="Z89" s="695">
        <f t="shared" si="25"/>
        <v>0</v>
      </c>
      <c r="AA89" s="695">
        <f t="shared" si="25"/>
        <v>0</v>
      </c>
      <c r="AB89" s="695">
        <f t="shared" si="25"/>
        <v>0</v>
      </c>
      <c r="AC89" s="695">
        <f t="shared" si="25"/>
        <v>-19721</v>
      </c>
      <c r="AD89" s="81" t="str">
        <f t="shared" si="23"/>
        <v>סה"כ</v>
      </c>
      <c r="AG89" s="1213"/>
    </row>
    <row r="90" spans="3:33" s="1230" customFormat="1" ht="15.6" customHeight="1" x14ac:dyDescent="0.25">
      <c r="C90" s="1210"/>
      <c r="D90" s="1246"/>
      <c r="E90" s="667"/>
      <c r="F90" s="603"/>
      <c r="G90" s="667">
        <f>F90/9*3</f>
        <v>0</v>
      </c>
      <c r="H90" s="667"/>
      <c r="I90" s="667"/>
      <c r="J90" s="667"/>
      <c r="K90" s="667"/>
      <c r="P90" s="1233"/>
      <c r="Q90" s="1233"/>
      <c r="R90" s="1233"/>
      <c r="S90" s="1233"/>
      <c r="W90" s="667"/>
      <c r="X90" s="961"/>
      <c r="Y90" s="81"/>
      <c r="Z90" s="1212"/>
      <c r="AA90" s="81"/>
      <c r="AB90" s="1213"/>
      <c r="AC90" s="1212">
        <f t="shared" si="20"/>
        <v>0</v>
      </c>
      <c r="AD90" s="81" t="str">
        <f t="shared" si="23"/>
        <v/>
      </c>
      <c r="AG90" s="81"/>
    </row>
    <row r="91" spans="3:33" s="1230" customFormat="1" ht="15.6" customHeight="1" x14ac:dyDescent="0.25">
      <c r="C91" s="1215">
        <v>731000.11</v>
      </c>
      <c r="D91" s="1216" t="s">
        <v>633</v>
      </c>
      <c r="E91" s="1217">
        <f>מוניצ!I51</f>
        <v>555497</v>
      </c>
      <c r="F91" s="1217">
        <v>465153</v>
      </c>
      <c r="G91" s="1217">
        <f>F91/10*2</f>
        <v>93030.6</v>
      </c>
      <c r="H91" s="1217">
        <f>F91+G91</f>
        <v>558183.6</v>
      </c>
      <c r="I91" s="1217">
        <v>585000</v>
      </c>
      <c r="J91" s="1217">
        <v>289439</v>
      </c>
      <c r="K91" s="1217">
        <f>מוניצ!K51</f>
        <v>573300</v>
      </c>
      <c r="P91" s="1217">
        <f>שכר!AG53</f>
        <v>434744.85</v>
      </c>
      <c r="Q91" s="1217">
        <v>559489</v>
      </c>
      <c r="R91" s="1217">
        <f>שכר!AM53</f>
        <v>581291.15579999995</v>
      </c>
      <c r="S91" s="1217">
        <f>R91*1.02</f>
        <v>592916.97891599999</v>
      </c>
      <c r="T91" s="1217" t="e">
        <f>שכר!#REF!</f>
        <v>#REF!</v>
      </c>
      <c r="U91" s="1217" t="e">
        <f>שכר!#REF!</f>
        <v>#REF!</v>
      </c>
      <c r="V91" s="1217" t="e">
        <f>שכר!#REF!</f>
        <v>#REF!</v>
      </c>
      <c r="W91" s="1217" t="e">
        <f>שכר!#REF!</f>
        <v>#REF!</v>
      </c>
      <c r="X91" s="1217" t="e">
        <f>שכר!#REF!</f>
        <v>#REF!</v>
      </c>
      <c r="Y91" s="1217" t="e">
        <f>שכר!#REF!</f>
        <v>#REF!</v>
      </c>
      <c r="Z91" s="1217" t="e">
        <f>שכר!#REF!</f>
        <v>#REF!</v>
      </c>
      <c r="AA91" s="1217" t="e">
        <f>שכר!#REF!</f>
        <v>#REF!</v>
      </c>
      <c r="AB91" s="1217" t="e">
        <f>שכר!#REF!</f>
        <v>#REF!</v>
      </c>
      <c r="AC91" s="1217" t="e">
        <f>שכר!#REF!</f>
        <v>#REF!</v>
      </c>
      <c r="AD91" s="81" t="str">
        <f t="shared" si="23"/>
        <v>7310</v>
      </c>
      <c r="AG91" s="81"/>
    </row>
    <row r="92" spans="3:33" s="1230" customFormat="1" ht="15.6" customHeight="1" x14ac:dyDescent="0.25">
      <c r="C92" s="1210">
        <v>731000.72</v>
      </c>
      <c r="D92" s="689" t="s">
        <v>3223</v>
      </c>
      <c r="E92" s="667">
        <v>3000</v>
      </c>
      <c r="F92" s="667">
        <v>0</v>
      </c>
      <c r="G92" s="667">
        <f>F92/11</f>
        <v>0</v>
      </c>
      <c r="H92" s="667">
        <f>F92+G92</f>
        <v>0</v>
      </c>
      <c r="I92" s="610">
        <v>3000</v>
      </c>
      <c r="J92" s="667">
        <v>0</v>
      </c>
      <c r="K92" s="667">
        <v>5000</v>
      </c>
      <c r="P92" s="608">
        <v>4350</v>
      </c>
      <c r="Q92" s="608">
        <v>6089</v>
      </c>
      <c r="R92" s="667">
        <v>7000</v>
      </c>
      <c r="S92" s="667">
        <v>7000</v>
      </c>
      <c r="W92" s="667">
        <v>3000</v>
      </c>
      <c r="X92" s="961"/>
      <c r="Y92" s="81">
        <v>5000</v>
      </c>
      <c r="Z92" s="81"/>
      <c r="AA92" s="81"/>
      <c r="AB92" s="81"/>
      <c r="AC92" s="1212">
        <f t="shared" si="20"/>
        <v>2000</v>
      </c>
      <c r="AD92" s="81"/>
      <c r="AG92" s="81"/>
    </row>
    <row r="93" spans="3:33" s="1230" customFormat="1" ht="15.6" customHeight="1" x14ac:dyDescent="0.25">
      <c r="C93" s="1210">
        <v>731000.75</v>
      </c>
      <c r="D93" s="689" t="s">
        <v>3288</v>
      </c>
      <c r="E93" s="667">
        <f>1914+1158+500+352+1456+300</f>
        <v>5680</v>
      </c>
      <c r="F93" s="667">
        <v>0</v>
      </c>
      <c r="G93" s="667">
        <f>F93/11</f>
        <v>0</v>
      </c>
      <c r="H93" s="667">
        <f>F93+G93</f>
        <v>0</v>
      </c>
      <c r="I93" s="610">
        <f>1000*12+5680</f>
        <v>17680</v>
      </c>
      <c r="J93" s="667">
        <v>0</v>
      </c>
      <c r="K93" s="667">
        <f>J93*2</f>
        <v>0</v>
      </c>
      <c r="P93" s="608">
        <v>0</v>
      </c>
      <c r="Q93" s="608">
        <f>P93/9*12</f>
        <v>0</v>
      </c>
      <c r="R93" s="1225">
        <v>12000</v>
      </c>
      <c r="S93" s="1225">
        <v>12000</v>
      </c>
      <c r="W93" s="667">
        <f>12000+5680</f>
        <v>17680</v>
      </c>
      <c r="X93" s="961"/>
      <c r="Y93" s="81"/>
      <c r="Z93" s="1212"/>
      <c r="AA93" s="81"/>
      <c r="AB93" s="1213"/>
      <c r="AC93" s="1212">
        <f t="shared" si="20"/>
        <v>-17680</v>
      </c>
      <c r="AD93" s="81"/>
      <c r="AG93" s="81"/>
    </row>
    <row r="94" spans="3:33" s="1230" customFormat="1" ht="15.6" customHeight="1" x14ac:dyDescent="0.25">
      <c r="C94" s="1210">
        <v>732000.75</v>
      </c>
      <c r="D94" s="689" t="s">
        <v>3231</v>
      </c>
      <c r="E94" s="667">
        <v>0</v>
      </c>
      <c r="F94" s="667">
        <v>0</v>
      </c>
      <c r="G94" s="667">
        <v>0</v>
      </c>
      <c r="H94" s="667">
        <v>0</v>
      </c>
      <c r="I94" s="667">
        <v>0</v>
      </c>
      <c r="J94" s="667">
        <v>0</v>
      </c>
      <c r="K94" s="667">
        <v>0</v>
      </c>
      <c r="L94" s="667">
        <v>0</v>
      </c>
      <c r="M94" s="667">
        <v>0</v>
      </c>
      <c r="N94" s="667">
        <v>0</v>
      </c>
      <c r="O94" s="667">
        <v>0</v>
      </c>
      <c r="P94" s="667">
        <v>0</v>
      </c>
      <c r="Q94" s="667">
        <v>0</v>
      </c>
      <c r="R94" s="1225">
        <v>12000</v>
      </c>
      <c r="S94" s="1225">
        <v>12000</v>
      </c>
      <c r="W94" s="667"/>
      <c r="X94" s="961"/>
      <c r="Y94" s="81"/>
      <c r="Z94" s="1212"/>
      <c r="AA94" s="81"/>
      <c r="AB94" s="1213"/>
      <c r="AC94" s="1212"/>
      <c r="AD94" s="81"/>
      <c r="AG94" s="81"/>
    </row>
    <row r="95" spans="3:33" s="1230" customFormat="1" ht="15.6" customHeight="1" x14ac:dyDescent="0.25">
      <c r="C95" s="1210">
        <v>731000.75100000005</v>
      </c>
      <c r="D95" s="689" t="s">
        <v>635</v>
      </c>
      <c r="E95" s="667">
        <v>0</v>
      </c>
      <c r="F95" s="667">
        <v>0</v>
      </c>
      <c r="G95" s="667">
        <f>F95/11</f>
        <v>0</v>
      </c>
      <c r="H95" s="667">
        <f>F95+G95</f>
        <v>0</v>
      </c>
      <c r="I95" s="610">
        <v>70000</v>
      </c>
      <c r="J95" s="667">
        <v>0</v>
      </c>
      <c r="K95" s="667">
        <v>288000</v>
      </c>
      <c r="P95" s="608">
        <v>181917</v>
      </c>
      <c r="Q95" s="608">
        <v>0</v>
      </c>
      <c r="R95" s="1225">
        <f>24000*8</f>
        <v>192000</v>
      </c>
      <c r="S95" s="1225">
        <f>12000*12</f>
        <v>144000</v>
      </c>
      <c r="W95" s="667">
        <v>70000</v>
      </c>
      <c r="X95" s="961"/>
      <c r="Y95" s="81">
        <f>24000*12</f>
        <v>288000</v>
      </c>
      <c r="Z95" s="1212"/>
      <c r="AA95" s="81"/>
      <c r="AB95" s="1213"/>
      <c r="AC95" s="1212">
        <f t="shared" si="20"/>
        <v>218000</v>
      </c>
      <c r="AD95" s="81"/>
      <c r="AG95" s="81"/>
    </row>
    <row r="96" spans="3:33" s="1230" customFormat="1" ht="15.6" customHeight="1" x14ac:dyDescent="0.25">
      <c r="C96" s="1210">
        <v>733400.81</v>
      </c>
      <c r="D96" s="689" t="s">
        <v>636</v>
      </c>
      <c r="E96" s="610">
        <v>1187000</v>
      </c>
      <c r="F96" s="667">
        <v>1293760</v>
      </c>
      <c r="G96" s="667">
        <v>0</v>
      </c>
      <c r="H96" s="667">
        <f>F96+G96</f>
        <v>1293760</v>
      </c>
      <c r="I96" s="610">
        <f>1498000+800000</f>
        <v>2298000</v>
      </c>
      <c r="J96" s="667">
        <v>0</v>
      </c>
      <c r="K96" s="667">
        <v>1498000</v>
      </c>
      <c r="P96" s="608">
        <v>701000</v>
      </c>
      <c r="Q96" s="608">
        <v>2465000</v>
      </c>
      <c r="R96" s="667">
        <v>1490000</v>
      </c>
      <c r="S96" s="667">
        <v>1490000</v>
      </c>
      <c r="W96" s="667">
        <v>1498000</v>
      </c>
      <c r="X96" s="961"/>
      <c r="Y96" s="81" t="s">
        <v>2035</v>
      </c>
      <c r="Z96" s="1212"/>
      <c r="AA96" s="1213"/>
      <c r="AB96" s="81"/>
      <c r="AC96" s="1212">
        <f t="shared" si="20"/>
        <v>-800000</v>
      </c>
      <c r="AD96" s="81"/>
      <c r="AG96" s="1213"/>
    </row>
    <row r="97" spans="3:33" s="1226" customFormat="1" ht="19.5" customHeight="1" x14ac:dyDescent="0.25">
      <c r="C97" s="1238" t="s">
        <v>637</v>
      </c>
      <c r="D97" s="1239" t="s">
        <v>638</v>
      </c>
      <c r="E97" s="695">
        <f t="shared" ref="E97:S97" si="26">SUM(E91:E96)</f>
        <v>1751177</v>
      </c>
      <c r="F97" s="695">
        <f t="shared" si="26"/>
        <v>1758913</v>
      </c>
      <c r="G97" s="695">
        <f t="shared" si="26"/>
        <v>93030.6</v>
      </c>
      <c r="H97" s="695">
        <f t="shared" si="26"/>
        <v>1851943.6</v>
      </c>
      <c r="I97" s="695">
        <f t="shared" si="26"/>
        <v>2973680</v>
      </c>
      <c r="J97" s="695">
        <f t="shared" si="26"/>
        <v>289439</v>
      </c>
      <c r="K97" s="695">
        <f t="shared" si="26"/>
        <v>2364300</v>
      </c>
      <c r="L97" s="695">
        <f t="shared" si="26"/>
        <v>0</v>
      </c>
      <c r="M97" s="695">
        <f t="shared" si="26"/>
        <v>0</v>
      </c>
      <c r="N97" s="695">
        <f t="shared" si="26"/>
        <v>0</v>
      </c>
      <c r="O97" s="695">
        <f t="shared" si="26"/>
        <v>0</v>
      </c>
      <c r="P97" s="695">
        <f t="shared" si="26"/>
        <v>1322011.8500000001</v>
      </c>
      <c r="Q97" s="695">
        <f t="shared" si="26"/>
        <v>3030578</v>
      </c>
      <c r="R97" s="695">
        <f t="shared" si="26"/>
        <v>2294291.1557999998</v>
      </c>
      <c r="S97" s="695">
        <f t="shared" si="26"/>
        <v>2257916.9789160001</v>
      </c>
      <c r="T97" s="695" t="e">
        <f t="shared" ref="T97:AC97" si="27">SUM(T91:T96)</f>
        <v>#REF!</v>
      </c>
      <c r="U97" s="695" t="e">
        <f t="shared" si="27"/>
        <v>#REF!</v>
      </c>
      <c r="V97" s="695" t="e">
        <f t="shared" si="27"/>
        <v>#REF!</v>
      </c>
      <c r="W97" s="695" t="e">
        <f t="shared" si="27"/>
        <v>#REF!</v>
      </c>
      <c r="X97" s="695" t="e">
        <f t="shared" si="27"/>
        <v>#REF!</v>
      </c>
      <c r="Y97" s="695" t="e">
        <f t="shared" si="27"/>
        <v>#REF!</v>
      </c>
      <c r="Z97" s="695" t="e">
        <f t="shared" si="27"/>
        <v>#REF!</v>
      </c>
      <c r="AA97" s="695" t="e">
        <f t="shared" si="27"/>
        <v>#REF!</v>
      </c>
      <c r="AB97" s="695" t="e">
        <f t="shared" si="27"/>
        <v>#REF!</v>
      </c>
      <c r="AC97" s="695" t="e">
        <f t="shared" si="27"/>
        <v>#REF!</v>
      </c>
      <c r="AD97" s="81" t="str">
        <f t="shared" si="23"/>
        <v>סה"כ</v>
      </c>
      <c r="AG97" s="1213"/>
    </row>
    <row r="98" spans="3:33" s="1230" customFormat="1" ht="15.6" customHeight="1" x14ac:dyDescent="0.25">
      <c r="C98" s="1231"/>
      <c r="D98" s="1232"/>
      <c r="E98" s="667"/>
      <c r="F98" s="603"/>
      <c r="G98" s="667"/>
      <c r="H98" s="667"/>
      <c r="I98" s="667"/>
      <c r="J98" s="667"/>
      <c r="K98" s="667"/>
      <c r="P98" s="608"/>
      <c r="Q98" s="608"/>
      <c r="R98" s="608"/>
      <c r="S98" s="608"/>
      <c r="W98" s="667"/>
      <c r="X98" s="961"/>
      <c r="Y98" s="81"/>
      <c r="Z98" s="1212"/>
      <c r="AA98" s="1213"/>
      <c r="AB98" s="1213"/>
      <c r="AC98" s="1212">
        <f t="shared" si="20"/>
        <v>0</v>
      </c>
      <c r="AD98" s="81" t="str">
        <f t="shared" si="23"/>
        <v/>
      </c>
      <c r="AG98" s="1213"/>
    </row>
    <row r="99" spans="3:33" s="1230" customFormat="1" ht="15.6" customHeight="1" x14ac:dyDescent="0.25">
      <c r="C99" s="1210">
        <v>741000.54</v>
      </c>
      <c r="D99" s="689" t="s">
        <v>639</v>
      </c>
      <c r="E99" s="667">
        <v>2600</v>
      </c>
      <c r="F99" s="667">
        <v>2221</v>
      </c>
      <c r="G99" s="667">
        <f>F99/11</f>
        <v>201.90909090909091</v>
      </c>
      <c r="H99" s="667">
        <f t="shared" ref="H99:H112" si="28">F99+G99</f>
        <v>2422.909090909091</v>
      </c>
      <c r="I99" s="667">
        <v>2600</v>
      </c>
      <c r="J99" s="667">
        <v>1219</v>
      </c>
      <c r="K99" s="667">
        <v>0</v>
      </c>
      <c r="P99" s="608">
        <v>1972</v>
      </c>
      <c r="Q99" s="608">
        <v>3000</v>
      </c>
      <c r="R99" s="1225">
        <v>3000</v>
      </c>
      <c r="S99" s="1225">
        <v>3000</v>
      </c>
      <c r="W99" s="667">
        <v>2600</v>
      </c>
      <c r="X99" s="961"/>
      <c r="Y99" s="81"/>
      <c r="Z99" s="1212"/>
      <c r="AA99" s="1213"/>
      <c r="AB99" s="1213"/>
      <c r="AC99" s="1212">
        <f t="shared" si="20"/>
        <v>-2600</v>
      </c>
      <c r="AD99" s="81"/>
      <c r="AG99" s="1213"/>
    </row>
    <row r="100" spans="3:33" s="1230" customFormat="1" ht="15.6" customHeight="1" x14ac:dyDescent="0.25">
      <c r="C100" s="1215">
        <v>742200.11</v>
      </c>
      <c r="D100" s="1216" t="s">
        <v>640</v>
      </c>
      <c r="E100" s="1217">
        <f>מוניצ!I60</f>
        <v>824117</v>
      </c>
      <c r="F100" s="1217">
        <v>690304</v>
      </c>
      <c r="G100" s="1217">
        <f>F100/10*2</f>
        <v>138060.79999999999</v>
      </c>
      <c r="H100" s="1217">
        <f t="shared" si="28"/>
        <v>828364.80000000005</v>
      </c>
      <c r="I100" s="1217">
        <v>876000</v>
      </c>
      <c r="J100" s="1217">
        <v>334825</v>
      </c>
      <c r="K100" s="1217">
        <f>מוניצ!K60</f>
        <v>712000</v>
      </c>
      <c r="P100" s="1217">
        <f>שכר!AG63</f>
        <v>508574.71</v>
      </c>
      <c r="Q100" s="1217">
        <v>647182</v>
      </c>
      <c r="R100" s="1217">
        <f>שכר!AM63</f>
        <v>656953.9458000001</v>
      </c>
      <c r="S100" s="1217">
        <f>R100*1.02</f>
        <v>670093.02471600007</v>
      </c>
      <c r="W100" s="1217">
        <f>מוניצ!AH60</f>
        <v>0</v>
      </c>
      <c r="X100" s="961"/>
      <c r="Y100" s="81"/>
      <c r="Z100" s="1212"/>
      <c r="AA100" s="1213"/>
      <c r="AB100" s="1213"/>
      <c r="AC100" s="1212">
        <f t="shared" si="20"/>
        <v>-164000</v>
      </c>
      <c r="AD100" s="81" t="str">
        <f t="shared" si="23"/>
        <v>7422</v>
      </c>
      <c r="AG100" s="1213"/>
    </row>
    <row r="101" spans="3:33" s="1230" customFormat="1" ht="15.6" customHeight="1" x14ac:dyDescent="0.25">
      <c r="C101" s="1210">
        <v>742200.72</v>
      </c>
      <c r="D101" s="689" t="s">
        <v>641</v>
      </c>
      <c r="E101" s="667">
        <v>5000</v>
      </c>
      <c r="F101" s="667">
        <v>5000</v>
      </c>
      <c r="G101" s="667">
        <f t="shared" ref="G101:G112" si="29">F101/11</f>
        <v>454.54545454545456</v>
      </c>
      <c r="H101" s="667">
        <f t="shared" si="28"/>
        <v>5454.545454545455</v>
      </c>
      <c r="I101" s="667">
        <v>10000</v>
      </c>
      <c r="J101" s="667">
        <v>0</v>
      </c>
      <c r="K101" s="667">
        <f>J101*2</f>
        <v>0</v>
      </c>
      <c r="P101" s="608">
        <v>4000</v>
      </c>
      <c r="Q101" s="608">
        <f>4991+44965</f>
        <v>49956</v>
      </c>
      <c r="R101" s="1225">
        <v>50000</v>
      </c>
      <c r="S101" s="1225">
        <v>50000</v>
      </c>
      <c r="W101" s="667">
        <v>10000</v>
      </c>
      <c r="X101" s="961"/>
      <c r="Y101" s="81"/>
      <c r="Z101" s="81"/>
      <c r="AA101" s="81"/>
      <c r="AB101" s="81"/>
      <c r="AC101" s="1212">
        <f t="shared" si="20"/>
        <v>-10000</v>
      </c>
      <c r="AD101" s="81"/>
      <c r="AG101" s="81"/>
    </row>
    <row r="102" spans="3:33" s="1230" customFormat="1" ht="15.6" customHeight="1" x14ac:dyDescent="0.25">
      <c r="C102" s="1210">
        <v>742200.73199999996</v>
      </c>
      <c r="D102" s="689" t="s">
        <v>642</v>
      </c>
      <c r="E102" s="667">
        <f>1500*12</f>
        <v>18000</v>
      </c>
      <c r="F102" s="667">
        <v>15005</v>
      </c>
      <c r="G102" s="667">
        <f t="shared" si="29"/>
        <v>1364.090909090909</v>
      </c>
      <c r="H102" s="667">
        <f t="shared" si="28"/>
        <v>16369.090909090908</v>
      </c>
      <c r="I102" s="667">
        <f>1500*12</f>
        <v>18000</v>
      </c>
      <c r="J102" s="667">
        <v>9413</v>
      </c>
      <c r="K102" s="667">
        <f>J102*2</f>
        <v>18826</v>
      </c>
      <c r="P102" s="608">
        <v>13962</v>
      </c>
      <c r="Q102" s="608">
        <v>17144</v>
      </c>
      <c r="R102" s="1225">
        <f>1500*12</f>
        <v>18000</v>
      </c>
      <c r="S102" s="1225">
        <f>1500*12</f>
        <v>18000</v>
      </c>
      <c r="W102" s="667">
        <v>18000</v>
      </c>
      <c r="X102" s="961"/>
      <c r="Y102" s="81"/>
      <c r="Z102" s="1212"/>
      <c r="AA102" s="1213"/>
      <c r="AB102" s="1213"/>
      <c r="AC102" s="1212">
        <f t="shared" si="20"/>
        <v>826</v>
      </c>
      <c r="AD102" s="81"/>
      <c r="AG102" s="1213"/>
    </row>
    <row r="103" spans="3:33" s="1230" customFormat="1" ht="15.6" customHeight="1" x14ac:dyDescent="0.25">
      <c r="C103" s="1210">
        <v>742200.73499999999</v>
      </c>
      <c r="D103" s="689" t="s">
        <v>643</v>
      </c>
      <c r="E103" s="667">
        <v>73000</v>
      </c>
      <c r="F103" s="667">
        <v>51264</v>
      </c>
      <c r="G103" s="667">
        <f t="shared" si="29"/>
        <v>4660.363636363636</v>
      </c>
      <c r="H103" s="667">
        <f t="shared" si="28"/>
        <v>55924.363636363632</v>
      </c>
      <c r="I103" s="610">
        <v>102528</v>
      </c>
      <c r="J103" s="667">
        <v>32753</v>
      </c>
      <c r="K103" s="667">
        <f>J103*2</f>
        <v>65506</v>
      </c>
      <c r="P103" s="608">
        <v>60751</v>
      </c>
      <c r="Q103" s="608">
        <v>78375</v>
      </c>
      <c r="R103" s="1225">
        <v>65506</v>
      </c>
      <c r="S103" s="1225">
        <v>65506</v>
      </c>
      <c r="W103" s="667">
        <v>74000</v>
      </c>
      <c r="X103" s="961"/>
      <c r="Y103" s="81"/>
      <c r="Z103" s="1212"/>
      <c r="AA103" s="1213"/>
      <c r="AB103" s="1213"/>
      <c r="AC103" s="1212">
        <f t="shared" si="20"/>
        <v>-37022</v>
      </c>
      <c r="AD103" s="81"/>
      <c r="AG103" s="1213"/>
    </row>
    <row r="104" spans="3:33" s="1230" customFormat="1" ht="15.6" customHeight="1" x14ac:dyDescent="0.25">
      <c r="C104" s="1236">
        <v>743000.75</v>
      </c>
      <c r="D104" s="689" t="s">
        <v>3289</v>
      </c>
      <c r="E104" s="667">
        <v>45000</v>
      </c>
      <c r="F104" s="667">
        <v>29863</v>
      </c>
      <c r="G104" s="667">
        <f>F104/11</f>
        <v>2714.818181818182</v>
      </c>
      <c r="H104" s="667">
        <f t="shared" si="28"/>
        <v>32577.818181818184</v>
      </c>
      <c r="I104" s="667">
        <v>45000</v>
      </c>
      <c r="J104" s="667">
        <v>0</v>
      </c>
      <c r="K104" s="667">
        <v>45000</v>
      </c>
      <c r="P104" s="608">
        <v>21761</v>
      </c>
      <c r="Q104" s="608">
        <v>41964</v>
      </c>
      <c r="R104" s="667">
        <v>42000</v>
      </c>
      <c r="S104" s="667">
        <v>42000</v>
      </c>
      <c r="W104" s="667"/>
      <c r="X104" s="961"/>
      <c r="Y104" s="81"/>
      <c r="Z104" s="1212"/>
      <c r="AA104" s="1213"/>
      <c r="AB104" s="1213"/>
      <c r="AC104" s="1212"/>
      <c r="AD104" s="81"/>
      <c r="AG104" s="1213"/>
    </row>
    <row r="105" spans="3:33" s="1230" customFormat="1" ht="15.6" customHeight="1" x14ac:dyDescent="0.25">
      <c r="C105" s="1236">
        <v>743000.75100000005</v>
      </c>
      <c r="D105" s="689" t="s">
        <v>618</v>
      </c>
      <c r="E105" s="667">
        <v>30000</v>
      </c>
      <c r="F105" s="610">
        <v>26400</v>
      </c>
      <c r="G105" s="667">
        <f>F105/11</f>
        <v>2400</v>
      </c>
      <c r="H105" s="667">
        <f t="shared" si="28"/>
        <v>28800</v>
      </c>
      <c r="I105" s="667">
        <v>30000</v>
      </c>
      <c r="J105" s="667">
        <v>0</v>
      </c>
      <c r="K105" s="667">
        <v>30000</v>
      </c>
      <c r="L105" s="1230" t="s">
        <v>619</v>
      </c>
      <c r="P105" s="608">
        <v>17492</v>
      </c>
      <c r="Q105" s="608">
        <v>27492</v>
      </c>
      <c r="R105" s="667">
        <v>28000</v>
      </c>
      <c r="S105" s="667">
        <v>28000</v>
      </c>
      <c r="W105" s="667"/>
      <c r="X105" s="961"/>
      <c r="Y105" s="81"/>
      <c r="Z105" s="1212"/>
      <c r="AA105" s="1213"/>
      <c r="AB105" s="1213"/>
      <c r="AC105" s="1212"/>
      <c r="AD105" s="81"/>
      <c r="AG105" s="1213"/>
    </row>
    <row r="107" spans="3:33" s="1230" customFormat="1" ht="15.6" customHeight="1" x14ac:dyDescent="0.25">
      <c r="C107" s="1210">
        <v>743000.77</v>
      </c>
      <c r="D107" s="689" t="s">
        <v>644</v>
      </c>
      <c r="E107" s="610">
        <v>602000</v>
      </c>
      <c r="F107" s="610">
        <f>545816-6528</f>
        <v>539288</v>
      </c>
      <c r="G107" s="667">
        <f t="shared" si="29"/>
        <v>49026.181818181816</v>
      </c>
      <c r="H107" s="667">
        <f t="shared" si="28"/>
        <v>588314.18181818177</v>
      </c>
      <c r="I107" s="667">
        <v>580000</v>
      </c>
      <c r="J107" s="667">
        <f>248687+X107</f>
        <v>348687</v>
      </c>
      <c r="K107" s="667">
        <v>620000</v>
      </c>
      <c r="L107" s="1230" t="s">
        <v>645</v>
      </c>
      <c r="P107" s="608">
        <v>376080</v>
      </c>
      <c r="Q107" s="608">
        <v>489247</v>
      </c>
      <c r="R107" s="1225">
        <v>490000</v>
      </c>
      <c r="S107" s="1225">
        <v>490000</v>
      </c>
      <c r="W107" s="1247">
        <v>445000</v>
      </c>
      <c r="X107" s="961">
        <v>100000</v>
      </c>
      <c r="Y107" s="81">
        <v>100000</v>
      </c>
      <c r="Z107" s="81"/>
      <c r="AA107" s="81"/>
      <c r="AB107" s="81"/>
      <c r="AC107" s="1212">
        <f t="shared" si="20"/>
        <v>40000</v>
      </c>
      <c r="AD107" s="81"/>
      <c r="AG107" s="81"/>
    </row>
    <row r="108" spans="3:33" s="1230" customFormat="1" ht="15.6" customHeight="1" x14ac:dyDescent="0.25">
      <c r="C108" s="1210">
        <v>744000.72</v>
      </c>
      <c r="D108" s="689" t="s">
        <v>647</v>
      </c>
      <c r="E108" s="667">
        <f>26500+33000</f>
        <v>59500</v>
      </c>
      <c r="F108" s="610">
        <f>37478</f>
        <v>37478</v>
      </c>
      <c r="G108" s="667">
        <f t="shared" si="29"/>
        <v>3407.090909090909</v>
      </c>
      <c r="H108" s="667">
        <f t="shared" si="28"/>
        <v>40885.090909090912</v>
      </c>
      <c r="I108" s="610">
        <v>64500</v>
      </c>
      <c r="J108" s="610">
        <v>18000</v>
      </c>
      <c r="K108" s="667">
        <v>64500</v>
      </c>
      <c r="P108" s="608">
        <v>30500</v>
      </c>
      <c r="Q108" s="608">
        <v>57000</v>
      </c>
      <c r="R108" s="1225">
        <v>64500</v>
      </c>
      <c r="S108" s="1225">
        <v>64500</v>
      </c>
      <c r="W108" s="610">
        <v>64500</v>
      </c>
      <c r="X108" s="961"/>
      <c r="Y108" s="81">
        <v>64500</v>
      </c>
      <c r="Z108" s="81"/>
      <c r="AA108" s="81"/>
      <c r="AB108" s="81"/>
      <c r="AC108" s="1212">
        <f t="shared" si="20"/>
        <v>0</v>
      </c>
      <c r="AD108" s="81"/>
      <c r="AG108" s="81"/>
    </row>
    <row r="109" spans="3:33" s="1230" customFormat="1" ht="15.6" customHeight="1" x14ac:dyDescent="0.25">
      <c r="C109" s="1210">
        <v>745000.81</v>
      </c>
      <c r="D109" s="689" t="s">
        <v>648</v>
      </c>
      <c r="E109" s="667">
        <v>111411</v>
      </c>
      <c r="F109" s="610">
        <v>97675</v>
      </c>
      <c r="G109" s="667">
        <f t="shared" si="29"/>
        <v>8879.545454545454</v>
      </c>
      <c r="H109" s="667">
        <f t="shared" si="28"/>
        <v>106554.54545454546</v>
      </c>
      <c r="I109" s="610">
        <v>195350</v>
      </c>
      <c r="J109" s="610">
        <v>95570</v>
      </c>
      <c r="K109" s="667">
        <v>95570</v>
      </c>
      <c r="P109" s="608">
        <v>71668</v>
      </c>
      <c r="Q109" s="608">
        <v>95570</v>
      </c>
      <c r="R109" s="1225">
        <v>102218</v>
      </c>
      <c r="S109" s="1225">
        <v>102218</v>
      </c>
      <c r="W109" s="610">
        <v>111410</v>
      </c>
      <c r="X109" s="961"/>
      <c r="Y109" s="81"/>
      <c r="Z109" s="1212"/>
      <c r="AA109" s="1213"/>
      <c r="AB109" s="1213"/>
      <c r="AC109" s="1212">
        <f t="shared" si="20"/>
        <v>-99780</v>
      </c>
      <c r="AD109" s="81"/>
      <c r="AG109" s="1213"/>
    </row>
    <row r="110" spans="3:33" s="1230" customFormat="1" ht="15.6" customHeight="1" x14ac:dyDescent="0.25">
      <c r="C110" s="1210">
        <v>746000.43200000003</v>
      </c>
      <c r="D110" s="689" t="s">
        <v>646</v>
      </c>
      <c r="E110" s="610">
        <v>10000</v>
      </c>
      <c r="F110" s="610">
        <v>3670</v>
      </c>
      <c r="G110" s="667">
        <f>F110/11</f>
        <v>333.63636363636363</v>
      </c>
      <c r="H110" s="667">
        <f>F110+G110</f>
        <v>4003.6363636363635</v>
      </c>
      <c r="I110" s="610">
        <v>10000</v>
      </c>
      <c r="J110" s="610">
        <v>1219</v>
      </c>
      <c r="K110" s="667">
        <v>10000</v>
      </c>
      <c r="P110" s="608">
        <v>5630</v>
      </c>
      <c r="Q110" s="608">
        <v>7107</v>
      </c>
      <c r="R110" s="1225">
        <v>10000</v>
      </c>
      <c r="S110" s="1225">
        <v>10000</v>
      </c>
      <c r="W110" s="610"/>
      <c r="X110" s="961"/>
      <c r="Y110" s="81"/>
      <c r="Z110" s="1212"/>
      <c r="AA110" s="1213"/>
      <c r="AB110" s="1213"/>
      <c r="AC110" s="1212"/>
      <c r="AD110" s="81"/>
      <c r="AG110" s="1213"/>
    </row>
    <row r="111" spans="3:33" s="1230" customFormat="1" ht="15.6" customHeight="1" x14ac:dyDescent="0.25">
      <c r="C111" s="1210">
        <v>748000.43200000003</v>
      </c>
      <c r="D111" s="689" t="s">
        <v>649</v>
      </c>
      <c r="E111" s="667">
        <v>9000</v>
      </c>
      <c r="F111" s="610">
        <v>10586</v>
      </c>
      <c r="G111" s="667">
        <f t="shared" si="29"/>
        <v>962.36363636363637</v>
      </c>
      <c r="H111" s="667">
        <f t="shared" si="28"/>
        <v>11548.363636363636</v>
      </c>
      <c r="I111" s="610">
        <v>21172</v>
      </c>
      <c r="J111" s="610">
        <v>2432</v>
      </c>
      <c r="K111" s="667">
        <v>9000</v>
      </c>
      <c r="P111" s="608">
        <v>5268</v>
      </c>
      <c r="Q111" s="608">
        <v>8798</v>
      </c>
      <c r="R111" s="1225">
        <v>9000</v>
      </c>
      <c r="S111" s="1225">
        <v>9000</v>
      </c>
      <c r="W111" s="610">
        <v>13748</v>
      </c>
      <c r="X111" s="961"/>
      <c r="Y111" s="81">
        <v>9000</v>
      </c>
      <c r="Z111" s="81"/>
      <c r="AA111" s="81"/>
      <c r="AB111" s="81"/>
      <c r="AC111" s="1212">
        <f t="shared" si="20"/>
        <v>-12172</v>
      </c>
      <c r="AD111" s="81"/>
      <c r="AG111" s="81"/>
    </row>
    <row r="112" spans="3:33" s="1230" customFormat="1" ht="15.6" customHeight="1" x14ac:dyDescent="0.25">
      <c r="C112" s="1236">
        <v>749000.91</v>
      </c>
      <c r="D112" s="1237" t="s">
        <v>1808</v>
      </c>
      <c r="E112" s="610">
        <v>0</v>
      </c>
      <c r="F112" s="610">
        <v>0</v>
      </c>
      <c r="G112" s="667">
        <f t="shared" si="29"/>
        <v>0</v>
      </c>
      <c r="H112" s="667">
        <f t="shared" si="28"/>
        <v>0</v>
      </c>
      <c r="I112" s="610">
        <v>100000</v>
      </c>
      <c r="J112" s="610">
        <v>95836</v>
      </c>
      <c r="K112" s="667">
        <v>250000</v>
      </c>
      <c r="P112" s="608">
        <v>106875</v>
      </c>
      <c r="Q112" s="608">
        <v>206875</v>
      </c>
      <c r="R112" s="1225">
        <v>200000</v>
      </c>
      <c r="S112" s="1225">
        <v>200000</v>
      </c>
      <c r="W112" s="610">
        <v>100000</v>
      </c>
      <c r="X112" s="961"/>
      <c r="Y112" s="81">
        <v>250000</v>
      </c>
      <c r="Z112" s="81"/>
      <c r="AA112" s="81"/>
      <c r="AB112" s="81"/>
      <c r="AC112" s="1212">
        <f t="shared" si="20"/>
        <v>150000</v>
      </c>
      <c r="AD112" s="81"/>
      <c r="AG112" s="81"/>
    </row>
    <row r="113" spans="1:33" s="1226" customFormat="1" ht="17.25" customHeight="1" x14ac:dyDescent="0.25">
      <c r="C113" s="1238" t="s">
        <v>651</v>
      </c>
      <c r="D113" s="1239" t="s">
        <v>652</v>
      </c>
      <c r="E113" s="695">
        <f t="shared" ref="E113:AC113" si="30">SUM(E99:E112)</f>
        <v>1789628</v>
      </c>
      <c r="F113" s="695">
        <f t="shared" si="30"/>
        <v>1508754</v>
      </c>
      <c r="G113" s="695">
        <f t="shared" si="30"/>
        <v>212465.34545454543</v>
      </c>
      <c r="H113" s="695">
        <f t="shared" si="30"/>
        <v>1721219.3454545452</v>
      </c>
      <c r="I113" s="695">
        <f t="shared" si="30"/>
        <v>2055150</v>
      </c>
      <c r="J113" s="695">
        <f t="shared" si="30"/>
        <v>939954</v>
      </c>
      <c r="K113" s="695">
        <f t="shared" si="30"/>
        <v>1920402</v>
      </c>
      <c r="L113" s="695">
        <f t="shared" si="30"/>
        <v>0</v>
      </c>
      <c r="M113" s="695">
        <f t="shared" si="30"/>
        <v>0</v>
      </c>
      <c r="N113" s="695">
        <f t="shared" si="30"/>
        <v>0</v>
      </c>
      <c r="O113" s="695">
        <f t="shared" si="30"/>
        <v>0</v>
      </c>
      <c r="P113" s="695">
        <f t="shared" si="30"/>
        <v>1224533.71</v>
      </c>
      <c r="Q113" s="695">
        <f t="shared" si="30"/>
        <v>1729710</v>
      </c>
      <c r="R113" s="695">
        <f t="shared" si="30"/>
        <v>1739177.9458000001</v>
      </c>
      <c r="S113" s="695">
        <f t="shared" si="30"/>
        <v>1752317.0247160001</v>
      </c>
      <c r="T113" s="695">
        <f t="shared" si="30"/>
        <v>0</v>
      </c>
      <c r="U113" s="695">
        <f t="shared" si="30"/>
        <v>0</v>
      </c>
      <c r="V113" s="695">
        <f t="shared" si="30"/>
        <v>0</v>
      </c>
      <c r="W113" s="695">
        <f t="shared" si="30"/>
        <v>839258</v>
      </c>
      <c r="X113" s="695">
        <f t="shared" si="30"/>
        <v>100000</v>
      </c>
      <c r="Y113" s="695">
        <f t="shared" si="30"/>
        <v>423500</v>
      </c>
      <c r="Z113" s="695">
        <f t="shared" si="30"/>
        <v>0</v>
      </c>
      <c r="AA113" s="695">
        <f t="shared" si="30"/>
        <v>0</v>
      </c>
      <c r="AB113" s="695">
        <f t="shared" si="30"/>
        <v>0</v>
      </c>
      <c r="AC113" s="695">
        <f t="shared" si="30"/>
        <v>-134748</v>
      </c>
      <c r="AD113" s="81" t="str">
        <f t="shared" si="23"/>
        <v>סה"כ</v>
      </c>
      <c r="AG113" s="1213"/>
    </row>
    <row r="114" spans="1:33" s="1230" customFormat="1" ht="15.6" customHeight="1" x14ac:dyDescent="0.25">
      <c r="C114" s="1231"/>
      <c r="D114" s="1232"/>
      <c r="E114" s="667"/>
      <c r="F114" s="603"/>
      <c r="G114" s="667"/>
      <c r="H114" s="667"/>
      <c r="I114" s="667"/>
      <c r="J114" s="667"/>
      <c r="K114" s="667"/>
      <c r="P114" s="608"/>
      <c r="Q114" s="608"/>
      <c r="R114" s="608"/>
      <c r="S114" s="608"/>
      <c r="W114" s="667"/>
      <c r="X114" s="961"/>
      <c r="Y114" s="81"/>
      <c r="Z114" s="1212"/>
      <c r="AA114" s="1213"/>
      <c r="AB114" s="1213"/>
      <c r="AC114" s="1212">
        <f t="shared" si="20"/>
        <v>0</v>
      </c>
      <c r="AD114" s="81" t="str">
        <f t="shared" si="23"/>
        <v/>
      </c>
      <c r="AG114" s="1213"/>
    </row>
    <row r="115" spans="1:33" s="1230" customFormat="1" ht="15.6" customHeight="1" x14ac:dyDescent="0.25">
      <c r="C115" s="1210">
        <v>767000.44</v>
      </c>
      <c r="D115" s="689" t="s">
        <v>653</v>
      </c>
      <c r="E115" s="667">
        <v>380024</v>
      </c>
      <c r="F115" s="667">
        <v>380024</v>
      </c>
      <c r="G115" s="1140">
        <v>0</v>
      </c>
      <c r="H115" s="667">
        <f>F115+G115</f>
        <v>380024</v>
      </c>
      <c r="I115" s="610">
        <v>760048</v>
      </c>
      <c r="J115" s="667">
        <v>381432</v>
      </c>
      <c r="K115" s="667">
        <v>382000</v>
      </c>
      <c r="P115" s="608">
        <v>289370</v>
      </c>
      <c r="Q115" s="608">
        <v>384808</v>
      </c>
      <c r="R115" s="667">
        <f>376000+6500+10474</f>
        <v>392974</v>
      </c>
      <c r="S115" s="667">
        <f>376000+6500+10474</f>
        <v>392974</v>
      </c>
      <c r="W115" s="667">
        <v>380024</v>
      </c>
      <c r="X115" s="961"/>
      <c r="Y115" s="81">
        <v>382000</v>
      </c>
      <c r="Z115" s="81"/>
      <c r="AA115" s="81"/>
      <c r="AB115" s="81"/>
      <c r="AC115" s="1212">
        <f t="shared" si="20"/>
        <v>-378048</v>
      </c>
      <c r="AD115" s="81"/>
      <c r="AG115" s="81"/>
    </row>
    <row r="116" spans="1:33" s="1230" customFormat="1" ht="15.6" customHeight="1" x14ac:dyDescent="0.25">
      <c r="C116" s="1210">
        <v>767000.44299999997</v>
      </c>
      <c r="D116" s="1237" t="s">
        <v>1768</v>
      </c>
      <c r="E116" s="610">
        <v>50000</v>
      </c>
      <c r="F116" s="667">
        <v>0</v>
      </c>
      <c r="G116" s="667">
        <v>50000</v>
      </c>
      <c r="H116" s="667">
        <f>F116+G116</f>
        <v>50000</v>
      </c>
      <c r="I116" s="610">
        <v>50000</v>
      </c>
      <c r="J116" s="667">
        <v>0</v>
      </c>
      <c r="K116" s="667">
        <v>50000</v>
      </c>
      <c r="P116" s="608">
        <v>0</v>
      </c>
      <c r="Q116" s="608">
        <v>0</v>
      </c>
      <c r="R116" s="667">
        <v>40000</v>
      </c>
      <c r="S116" s="667">
        <v>40000</v>
      </c>
      <c r="W116" s="667">
        <v>50000</v>
      </c>
      <c r="X116" s="961"/>
      <c r="Y116" s="81">
        <v>50000</v>
      </c>
      <c r="Z116" s="1212"/>
      <c r="AA116" s="1213"/>
      <c r="AB116" s="1213"/>
      <c r="AC116" s="1212">
        <f t="shared" si="20"/>
        <v>0</v>
      </c>
      <c r="AD116" s="81"/>
      <c r="AG116" s="1213"/>
    </row>
    <row r="117" spans="1:33" s="1226" customFormat="1" ht="17.25" customHeight="1" x14ac:dyDescent="0.25">
      <c r="C117" s="1238" t="s">
        <v>654</v>
      </c>
      <c r="D117" s="1239" t="s">
        <v>143</v>
      </c>
      <c r="E117" s="695">
        <f t="shared" ref="E117:S117" si="31">SUM(E115:E116)</f>
        <v>430024</v>
      </c>
      <c r="F117" s="695">
        <f t="shared" si="31"/>
        <v>380024</v>
      </c>
      <c r="G117" s="695">
        <f t="shared" si="31"/>
        <v>50000</v>
      </c>
      <c r="H117" s="695">
        <f t="shared" si="31"/>
        <v>430024</v>
      </c>
      <c r="I117" s="695">
        <f t="shared" si="31"/>
        <v>810048</v>
      </c>
      <c r="J117" s="695">
        <f t="shared" si="31"/>
        <v>381432</v>
      </c>
      <c r="K117" s="695">
        <f t="shared" si="31"/>
        <v>432000</v>
      </c>
      <c r="L117" s="695">
        <f t="shared" si="31"/>
        <v>0</v>
      </c>
      <c r="M117" s="695">
        <f t="shared" si="31"/>
        <v>0</v>
      </c>
      <c r="N117" s="695">
        <f t="shared" si="31"/>
        <v>0</v>
      </c>
      <c r="O117" s="695">
        <f t="shared" si="31"/>
        <v>0</v>
      </c>
      <c r="P117" s="695">
        <f t="shared" si="31"/>
        <v>289370</v>
      </c>
      <c r="Q117" s="695">
        <f t="shared" si="31"/>
        <v>384808</v>
      </c>
      <c r="R117" s="695">
        <f t="shared" si="31"/>
        <v>432974</v>
      </c>
      <c r="S117" s="695">
        <f t="shared" si="31"/>
        <v>432974</v>
      </c>
      <c r="T117" s="695">
        <f t="shared" ref="T117:AC117" si="32">SUM(T115:T116)</f>
        <v>0</v>
      </c>
      <c r="U117" s="695">
        <f t="shared" si="32"/>
        <v>0</v>
      </c>
      <c r="V117" s="695">
        <f t="shared" si="32"/>
        <v>0</v>
      </c>
      <c r="W117" s="695">
        <f t="shared" si="32"/>
        <v>430024</v>
      </c>
      <c r="X117" s="695">
        <f t="shared" si="32"/>
        <v>0</v>
      </c>
      <c r="Y117" s="695">
        <f t="shared" si="32"/>
        <v>432000</v>
      </c>
      <c r="Z117" s="695">
        <f t="shared" si="32"/>
        <v>0</v>
      </c>
      <c r="AA117" s="695">
        <f t="shared" si="32"/>
        <v>0</v>
      </c>
      <c r="AB117" s="695">
        <f t="shared" si="32"/>
        <v>0</v>
      </c>
      <c r="AC117" s="695">
        <f t="shared" si="32"/>
        <v>-378048</v>
      </c>
      <c r="AD117" s="81" t="str">
        <f t="shared" si="23"/>
        <v>סה"כ</v>
      </c>
      <c r="AG117" s="81"/>
    </row>
    <row r="118" spans="1:33" s="1226" customFormat="1" ht="17.25" customHeight="1" x14ac:dyDescent="0.25">
      <c r="C118" s="1238"/>
      <c r="D118" s="1239"/>
      <c r="E118" s="695"/>
      <c r="F118" s="695"/>
      <c r="G118" s="695"/>
      <c r="H118" s="695"/>
      <c r="I118" s="695"/>
      <c r="J118" s="695"/>
      <c r="K118" s="695"/>
      <c r="L118" s="1248"/>
      <c r="M118" s="1248"/>
      <c r="N118" s="1248"/>
      <c r="O118" s="1248"/>
      <c r="P118" s="695"/>
      <c r="Q118" s="695"/>
      <c r="R118" s="695"/>
      <c r="S118" s="695"/>
      <c r="T118" s="1248"/>
      <c r="U118" s="1248"/>
      <c r="V118" s="1248"/>
      <c r="W118" s="695"/>
      <c r="X118" s="1248"/>
      <c r="Y118" s="1248"/>
      <c r="Z118" s="1248"/>
      <c r="AA118" s="1248"/>
      <c r="AB118" s="1248"/>
      <c r="AC118" s="1248"/>
      <c r="AD118" s="81"/>
      <c r="AG118" s="81"/>
    </row>
    <row r="119" spans="1:33" ht="15.6" customHeight="1" x14ac:dyDescent="0.25">
      <c r="C119" s="1249">
        <v>771000.78</v>
      </c>
      <c r="D119" s="1198" t="s">
        <v>2043</v>
      </c>
      <c r="E119" s="610"/>
      <c r="F119" s="610"/>
      <c r="G119" s="610"/>
      <c r="H119" s="610"/>
      <c r="I119" s="610"/>
      <c r="J119" s="610"/>
      <c r="K119" s="610">
        <v>80000</v>
      </c>
      <c r="P119" s="610">
        <v>0</v>
      </c>
      <c r="Q119" s="610">
        <v>77923</v>
      </c>
      <c r="R119" s="1234">
        <v>80000</v>
      </c>
      <c r="S119" s="1234">
        <v>80000</v>
      </c>
      <c r="W119" s="610"/>
      <c r="X119" s="962"/>
      <c r="Y119" s="1230"/>
      <c r="Z119" s="1250"/>
      <c r="AA119" s="1251"/>
      <c r="AB119" s="1230"/>
      <c r="AC119" s="1250">
        <f>K119-I119</f>
        <v>80000</v>
      </c>
      <c r="AD119" s="1230"/>
      <c r="AE119" s="1230"/>
      <c r="AF119" s="1230"/>
      <c r="AG119" s="1213"/>
    </row>
    <row r="120" spans="1:33" s="1230" customFormat="1" ht="15" customHeight="1" x14ac:dyDescent="0.25">
      <c r="C120" s="1210">
        <v>774000.81</v>
      </c>
      <c r="D120" s="689" t="s">
        <v>655</v>
      </c>
      <c r="E120" s="667">
        <v>0</v>
      </c>
      <c r="F120" s="667">
        <v>0</v>
      </c>
      <c r="G120" s="667">
        <f>F120/9*3</f>
        <v>0</v>
      </c>
      <c r="H120" s="667">
        <v>0</v>
      </c>
      <c r="I120" s="667">
        <v>164000</v>
      </c>
      <c r="J120" s="667">
        <v>0</v>
      </c>
      <c r="K120" s="667">
        <v>164000</v>
      </c>
      <c r="P120" s="608">
        <v>13000</v>
      </c>
      <c r="Q120" s="1225">
        <v>13000</v>
      </c>
      <c r="R120" s="1225">
        <v>0</v>
      </c>
      <c r="S120" s="1225">
        <v>0</v>
      </c>
      <c r="W120" s="667">
        <v>100000</v>
      </c>
      <c r="X120" s="961"/>
      <c r="Y120" s="81">
        <v>164000</v>
      </c>
      <c r="Z120" s="1212"/>
      <c r="AA120" s="1213"/>
      <c r="AB120" s="1213"/>
      <c r="AC120" s="1212">
        <f t="shared" si="20"/>
        <v>0</v>
      </c>
      <c r="AD120" s="81"/>
      <c r="AG120" s="1213"/>
    </row>
    <row r="121" spans="1:33" s="1230" customFormat="1" ht="15" customHeight="1" x14ac:dyDescent="0.25">
      <c r="C121" s="1238" t="s">
        <v>656</v>
      </c>
      <c r="D121" s="1239" t="s">
        <v>657</v>
      </c>
      <c r="E121" s="695">
        <f>SUM(E119:E120)</f>
        <v>0</v>
      </c>
      <c r="F121" s="695">
        <f t="shared" ref="F121:S121" si="33">SUM(F119:F120)</f>
        <v>0</v>
      </c>
      <c r="G121" s="695">
        <f t="shared" si="33"/>
        <v>0</v>
      </c>
      <c r="H121" s="695">
        <f t="shared" si="33"/>
        <v>0</v>
      </c>
      <c r="I121" s="695">
        <f t="shared" si="33"/>
        <v>164000</v>
      </c>
      <c r="J121" s="695">
        <f t="shared" si="33"/>
        <v>0</v>
      </c>
      <c r="K121" s="695">
        <f t="shared" si="33"/>
        <v>244000</v>
      </c>
      <c r="L121" s="695">
        <f t="shared" si="33"/>
        <v>0</v>
      </c>
      <c r="M121" s="695">
        <f t="shared" si="33"/>
        <v>0</v>
      </c>
      <c r="N121" s="695">
        <f t="shared" si="33"/>
        <v>0</v>
      </c>
      <c r="O121" s="695">
        <f t="shared" si="33"/>
        <v>0</v>
      </c>
      <c r="P121" s="695">
        <f t="shared" si="33"/>
        <v>13000</v>
      </c>
      <c r="Q121" s="695">
        <f t="shared" si="33"/>
        <v>90923</v>
      </c>
      <c r="R121" s="695">
        <f t="shared" si="33"/>
        <v>80000</v>
      </c>
      <c r="S121" s="695">
        <f t="shared" si="33"/>
        <v>80000</v>
      </c>
      <c r="T121" s="695">
        <f t="shared" ref="T121:AC121" si="34">SUM(T120)</f>
        <v>0</v>
      </c>
      <c r="U121" s="695">
        <f t="shared" si="34"/>
        <v>0</v>
      </c>
      <c r="V121" s="695">
        <f t="shared" si="34"/>
        <v>0</v>
      </c>
      <c r="W121" s="695">
        <f t="shared" si="34"/>
        <v>100000</v>
      </c>
      <c r="X121" s="695">
        <f t="shared" si="34"/>
        <v>0</v>
      </c>
      <c r="Y121" s="695">
        <f t="shared" si="34"/>
        <v>164000</v>
      </c>
      <c r="Z121" s="695">
        <f t="shared" si="34"/>
        <v>0</v>
      </c>
      <c r="AA121" s="695">
        <f t="shared" si="34"/>
        <v>0</v>
      </c>
      <c r="AB121" s="695">
        <f t="shared" si="34"/>
        <v>0</v>
      </c>
      <c r="AC121" s="695">
        <f t="shared" si="34"/>
        <v>0</v>
      </c>
      <c r="AD121" s="81" t="str">
        <f t="shared" si="23"/>
        <v>סה"כ</v>
      </c>
      <c r="AG121" s="81"/>
    </row>
    <row r="122" spans="1:33" s="1230" customFormat="1" ht="15" customHeight="1" x14ac:dyDescent="0.25">
      <c r="C122" s="1238"/>
      <c r="D122" s="1239"/>
      <c r="E122" s="695"/>
      <c r="F122" s="695"/>
      <c r="G122" s="695"/>
      <c r="H122" s="695"/>
      <c r="I122" s="695"/>
      <c r="J122" s="695"/>
      <c r="K122" s="695"/>
      <c r="L122" s="1248"/>
      <c r="M122" s="1248"/>
      <c r="N122" s="1248"/>
      <c r="O122" s="1248"/>
      <c r="P122" s="695"/>
      <c r="Q122" s="695"/>
      <c r="R122" s="695"/>
      <c r="S122" s="695"/>
      <c r="T122" s="1248"/>
      <c r="U122" s="1248"/>
      <c r="V122" s="1248"/>
      <c r="W122" s="695"/>
      <c r="X122" s="1248"/>
      <c r="Y122" s="1248"/>
      <c r="Z122" s="1248"/>
      <c r="AA122" s="1248"/>
      <c r="AB122" s="1248"/>
      <c r="AC122" s="1248"/>
      <c r="AD122" s="81"/>
      <c r="AG122" s="81"/>
    </row>
    <row r="123" spans="1:33" s="1230" customFormat="1" ht="21.75" customHeight="1" x14ac:dyDescent="0.25">
      <c r="C123" s="1241" t="s">
        <v>408</v>
      </c>
      <c r="D123" s="1242" t="s">
        <v>658</v>
      </c>
      <c r="E123" s="1243">
        <f t="shared" ref="E123:AC123" si="35">E79+E89+E97+E113+E117+E121</f>
        <v>11258360</v>
      </c>
      <c r="F123" s="1243">
        <f t="shared" si="35"/>
        <v>9512508</v>
      </c>
      <c r="G123" s="1243">
        <f t="shared" si="35"/>
        <v>1818333.8181818181</v>
      </c>
      <c r="H123" s="1243">
        <f t="shared" si="35"/>
        <v>11330841.818181818</v>
      </c>
      <c r="I123" s="1243">
        <f t="shared" si="35"/>
        <v>13526910</v>
      </c>
      <c r="J123" s="1243">
        <f t="shared" si="35"/>
        <v>5522688</v>
      </c>
      <c r="K123" s="1243">
        <f t="shared" si="35"/>
        <v>12271992</v>
      </c>
      <c r="L123" s="1243">
        <f t="shared" si="35"/>
        <v>0</v>
      </c>
      <c r="M123" s="1243">
        <f t="shared" si="35"/>
        <v>0</v>
      </c>
      <c r="N123" s="1243">
        <f t="shared" si="35"/>
        <v>0</v>
      </c>
      <c r="O123" s="1252">
        <f t="shared" si="35"/>
        <v>0</v>
      </c>
      <c r="P123" s="1243">
        <f t="shared" si="35"/>
        <v>8630859.1999999993</v>
      </c>
      <c r="Q123" s="1243">
        <f t="shared" si="35"/>
        <v>12631370</v>
      </c>
      <c r="R123" s="1243">
        <f t="shared" si="35"/>
        <v>10818374.555000002</v>
      </c>
      <c r="S123" s="1243">
        <f t="shared" si="35"/>
        <v>10333795.546099998</v>
      </c>
      <c r="T123" s="1253" t="e">
        <f t="shared" si="35"/>
        <v>#REF!</v>
      </c>
      <c r="U123" s="1243" t="e">
        <f t="shared" si="35"/>
        <v>#REF!</v>
      </c>
      <c r="V123" s="1243" t="e">
        <f t="shared" si="35"/>
        <v>#REF!</v>
      </c>
      <c r="W123" s="1243" t="e">
        <f t="shared" si="35"/>
        <v>#REF!</v>
      </c>
      <c r="X123" s="1243" t="e">
        <f t="shared" si="35"/>
        <v>#REF!</v>
      </c>
      <c r="Y123" s="1243" t="e">
        <f t="shared" si="35"/>
        <v>#REF!</v>
      </c>
      <c r="Z123" s="1243" t="e">
        <f t="shared" si="35"/>
        <v>#REF!</v>
      </c>
      <c r="AA123" s="1243" t="e">
        <f t="shared" si="35"/>
        <v>#REF!</v>
      </c>
      <c r="AB123" s="1243" t="e">
        <f t="shared" si="35"/>
        <v>#REF!</v>
      </c>
      <c r="AC123" s="1243" t="e">
        <f t="shared" si="35"/>
        <v>#REF!</v>
      </c>
      <c r="AD123" s="81" t="str">
        <f t="shared" si="23"/>
        <v>סה"כ</v>
      </c>
      <c r="AG123" s="81"/>
    </row>
    <row r="124" spans="1:33" s="1230" customFormat="1" ht="17.25" customHeight="1" x14ac:dyDescent="0.25">
      <c r="C124" s="1241"/>
      <c r="D124" s="1242"/>
      <c r="E124" s="1243"/>
      <c r="F124" s="603"/>
      <c r="G124" s="667"/>
      <c r="H124" s="667"/>
      <c r="I124" s="1243"/>
      <c r="J124" s="1243"/>
      <c r="K124" s="1243"/>
      <c r="P124" s="608"/>
      <c r="Q124" s="608"/>
      <c r="R124" s="608"/>
      <c r="S124" s="608"/>
      <c r="W124" s="1243"/>
      <c r="X124" s="1254"/>
      <c r="Y124" s="81"/>
      <c r="Z124" s="1212"/>
      <c r="AA124" s="1213"/>
      <c r="AB124" s="81"/>
      <c r="AC124" s="1212">
        <f t="shared" si="20"/>
        <v>0</v>
      </c>
      <c r="AD124" s="81" t="str">
        <f t="shared" si="23"/>
        <v/>
      </c>
      <c r="AG124" s="1213"/>
    </row>
    <row r="125" spans="1:33" s="1255" customFormat="1" ht="14.25" customHeight="1" x14ac:dyDescent="0.25">
      <c r="A125" s="1255" t="str">
        <f>RIGHT(C125,2)</f>
        <v>11</v>
      </c>
      <c r="C125" s="1256">
        <v>811000.11</v>
      </c>
      <c r="D125" s="1216" t="s">
        <v>659</v>
      </c>
      <c r="E125" s="1217">
        <f>חינוך!I7</f>
        <v>498357</v>
      </c>
      <c r="F125" s="1217">
        <v>415411</v>
      </c>
      <c r="G125" s="1217">
        <f>F125/10*2</f>
        <v>83082.2</v>
      </c>
      <c r="H125" s="1217">
        <f>F125+G125</f>
        <v>498493.2</v>
      </c>
      <c r="I125" s="1217">
        <v>468000</v>
      </c>
      <c r="J125" s="1217">
        <v>165212</v>
      </c>
      <c r="K125" s="1217">
        <f>חינוך!K7</f>
        <v>330000</v>
      </c>
      <c r="P125" s="1217">
        <f>שכר!AG68</f>
        <v>453284.51</v>
      </c>
      <c r="Q125" s="1217">
        <v>301601</v>
      </c>
      <c r="R125" s="1217">
        <f>שכר!AM68</f>
        <v>410485.44380000001</v>
      </c>
      <c r="S125" s="1217">
        <f>R125*1.02</f>
        <v>418695.15267600003</v>
      </c>
      <c r="W125" s="1217">
        <f>חינוך!AH7</f>
        <v>0</v>
      </c>
      <c r="X125" s="961"/>
      <c r="Y125" s="81"/>
      <c r="Z125" s="1212"/>
      <c r="AA125" s="1213"/>
      <c r="AB125" s="1213"/>
      <c r="AC125" s="1212">
        <f t="shared" si="20"/>
        <v>-138000</v>
      </c>
      <c r="AD125" s="81" t="str">
        <f t="shared" si="23"/>
        <v>8110</v>
      </c>
      <c r="AG125" s="1213"/>
    </row>
    <row r="126" spans="1:33" s="1257" customFormat="1" ht="15.6" customHeight="1" x14ac:dyDescent="0.25">
      <c r="A126" s="1255" t="str">
        <f t="shared" ref="A126:A201" si="36">RIGHT(C126,2)</f>
        <v>54</v>
      </c>
      <c r="B126" s="1255"/>
      <c r="C126" s="1210">
        <v>811000.54</v>
      </c>
      <c r="D126" s="689" t="s">
        <v>660</v>
      </c>
      <c r="E126" s="667">
        <v>15000</v>
      </c>
      <c r="F126" s="667">
        <v>7202</v>
      </c>
      <c r="G126" s="667">
        <f>F126/11</f>
        <v>654.72727272727275</v>
      </c>
      <c r="H126" s="667">
        <f>F126+G126</f>
        <v>7856.727272727273</v>
      </c>
      <c r="I126" s="667">
        <v>15000</v>
      </c>
      <c r="J126" s="667">
        <v>3508</v>
      </c>
      <c r="K126" s="667">
        <v>15000</v>
      </c>
      <c r="P126" s="608">
        <v>5511</v>
      </c>
      <c r="Q126" s="608">
        <v>8027</v>
      </c>
      <c r="R126" s="1225">
        <v>10000</v>
      </c>
      <c r="S126" s="1225">
        <v>10000</v>
      </c>
      <c r="W126" s="667">
        <v>15000</v>
      </c>
      <c r="X126" s="961"/>
      <c r="Y126" s="81">
        <v>15000</v>
      </c>
      <c r="Z126" s="81"/>
      <c r="AA126" s="81"/>
      <c r="AB126" s="81"/>
      <c r="AC126" s="1212">
        <f t="shared" si="20"/>
        <v>0</v>
      </c>
      <c r="AD126" s="81"/>
      <c r="AG126" s="81"/>
    </row>
    <row r="127" spans="1:33" s="1257" customFormat="1" ht="15.6" customHeight="1" x14ac:dyDescent="0.25">
      <c r="A127" s="1255"/>
      <c r="B127" s="1255"/>
      <c r="C127" s="1210">
        <v>811000.47</v>
      </c>
      <c r="D127" s="689" t="s">
        <v>1848</v>
      </c>
      <c r="E127" s="667">
        <v>0</v>
      </c>
      <c r="F127" s="667"/>
      <c r="G127" s="667"/>
      <c r="H127" s="667">
        <v>0</v>
      </c>
      <c r="I127" s="667">
        <v>0</v>
      </c>
      <c r="J127" s="667">
        <v>0</v>
      </c>
      <c r="K127" s="667">
        <v>402200</v>
      </c>
      <c r="P127" s="608">
        <v>0</v>
      </c>
      <c r="Q127" s="608">
        <v>477399</v>
      </c>
      <c r="R127" s="1225">
        <v>0</v>
      </c>
      <c r="S127" s="1225">
        <v>0</v>
      </c>
      <c r="W127" s="667">
        <v>420000</v>
      </c>
      <c r="X127" s="961"/>
      <c r="Y127" s="81">
        <v>402200</v>
      </c>
      <c r="Z127" s="81"/>
      <c r="AA127" s="81"/>
      <c r="AB127" s="81"/>
      <c r="AC127" s="1212">
        <f t="shared" si="20"/>
        <v>402200</v>
      </c>
      <c r="AD127" s="81"/>
      <c r="AG127" s="81"/>
    </row>
    <row r="128" spans="1:33" s="1257" customFormat="1" ht="15.6" customHeight="1" x14ac:dyDescent="0.25">
      <c r="A128" s="1255"/>
      <c r="B128" s="1255"/>
      <c r="C128" s="1210">
        <v>811000.57</v>
      </c>
      <c r="D128" s="689" t="s">
        <v>2049</v>
      </c>
      <c r="E128" s="667">
        <v>0</v>
      </c>
      <c r="F128" s="667"/>
      <c r="G128" s="667"/>
      <c r="H128" s="667">
        <v>0</v>
      </c>
      <c r="I128" s="667">
        <v>0</v>
      </c>
      <c r="J128" s="667">
        <v>0</v>
      </c>
      <c r="K128" s="667">
        <v>155666</v>
      </c>
      <c r="P128" s="608">
        <v>155663</v>
      </c>
      <c r="Q128" s="608">
        <v>155663</v>
      </c>
      <c r="R128" s="1225">
        <v>0</v>
      </c>
      <c r="S128" s="1225">
        <v>0</v>
      </c>
      <c r="W128" s="667"/>
      <c r="X128" s="961"/>
      <c r="Y128" s="81"/>
      <c r="Z128" s="81"/>
      <c r="AA128" s="81"/>
      <c r="AB128" s="81"/>
      <c r="AC128" s="1212"/>
      <c r="AD128" s="81"/>
      <c r="AG128" s="81"/>
    </row>
    <row r="129" spans="1:33" s="1257" customFormat="1" ht="15.6" customHeight="1" x14ac:dyDescent="0.25">
      <c r="A129" s="1255"/>
      <c r="B129" s="1255"/>
      <c r="C129" s="1210">
        <v>811000.75</v>
      </c>
      <c r="D129" s="689" t="s">
        <v>3256</v>
      </c>
      <c r="E129" s="667"/>
      <c r="F129" s="667"/>
      <c r="G129" s="667"/>
      <c r="H129" s="667"/>
      <c r="I129" s="667"/>
      <c r="J129" s="667"/>
      <c r="K129" s="667"/>
      <c r="P129" s="608"/>
      <c r="Q129" s="608"/>
      <c r="R129" s="1225">
        <v>60000</v>
      </c>
      <c r="S129" s="1225">
        <v>60000</v>
      </c>
      <c r="W129" s="667"/>
      <c r="X129" s="961"/>
      <c r="Y129" s="81"/>
      <c r="Z129" s="81"/>
      <c r="AA129" s="81"/>
      <c r="AB129" s="81"/>
      <c r="AC129" s="1212"/>
      <c r="AD129" s="81"/>
      <c r="AG129" s="81"/>
    </row>
    <row r="130" spans="1:33" s="1258" customFormat="1" ht="15.6" customHeight="1" x14ac:dyDescent="0.25">
      <c r="A130" s="1255" t="str">
        <f t="shared" si="36"/>
        <v>51</v>
      </c>
      <c r="B130" s="1255"/>
      <c r="C130" s="1210">
        <v>811000.75100000005</v>
      </c>
      <c r="D130" s="689" t="s">
        <v>661</v>
      </c>
      <c r="E130" s="667">
        <f>20000+113666+72000</f>
        <v>205666</v>
      </c>
      <c r="F130" s="667">
        <v>259969</v>
      </c>
      <c r="G130" s="667">
        <v>0</v>
      </c>
      <c r="H130" s="667">
        <f>F130+G130</f>
        <v>259969</v>
      </c>
      <c r="I130" s="610">
        <v>205666</v>
      </c>
      <c r="J130" s="610">
        <v>0</v>
      </c>
      <c r="K130" s="667">
        <v>205666</v>
      </c>
      <c r="P130" s="608">
        <v>220221</v>
      </c>
      <c r="Q130" s="608">
        <v>265580</v>
      </c>
      <c r="R130" s="1225">
        <f>'הכנסות '!R62/0.8</f>
        <v>206250</v>
      </c>
      <c r="S130" s="1225">
        <f>'הכנסות '!S62/0.8</f>
        <v>206250</v>
      </c>
      <c r="W130" s="610">
        <v>205666</v>
      </c>
      <c r="X130" s="961"/>
      <c r="Y130" s="81">
        <v>205666</v>
      </c>
      <c r="Z130" s="1212"/>
      <c r="AA130" s="1213"/>
      <c r="AB130" s="1213"/>
      <c r="AC130" s="1212">
        <f t="shared" si="20"/>
        <v>0</v>
      </c>
      <c r="AD130" s="81"/>
      <c r="AG130" s="1213"/>
    </row>
    <row r="131" spans="1:33" s="1258" customFormat="1" ht="15.6" customHeight="1" x14ac:dyDescent="0.25">
      <c r="A131" s="1255"/>
      <c r="B131" s="1255"/>
      <c r="C131" s="1210">
        <v>811000.75199999998</v>
      </c>
      <c r="D131" s="689" t="s">
        <v>1715</v>
      </c>
      <c r="E131" s="667">
        <f>38000+43000</f>
        <v>81000</v>
      </c>
      <c r="F131" s="667">
        <v>0</v>
      </c>
      <c r="G131" s="667">
        <v>81000</v>
      </c>
      <c r="H131" s="667">
        <f>F131+G131</f>
        <v>81000</v>
      </c>
      <c r="I131" s="610">
        <f>38000+43000</f>
        <v>81000</v>
      </c>
      <c r="J131" s="610">
        <v>0</v>
      </c>
      <c r="K131" s="667">
        <v>81000</v>
      </c>
      <c r="P131" s="608">
        <v>0</v>
      </c>
      <c r="Q131" s="608">
        <f>P131/9*12</f>
        <v>0</v>
      </c>
      <c r="R131" s="608">
        <v>0</v>
      </c>
      <c r="S131" s="608">
        <f>R131</f>
        <v>0</v>
      </c>
      <c r="W131" s="610">
        <v>0</v>
      </c>
      <c r="X131" s="961"/>
      <c r="Y131" s="81">
        <v>81000</v>
      </c>
      <c r="Z131" s="1212"/>
      <c r="AA131" s="81"/>
      <c r="AB131" s="1213"/>
      <c r="AC131" s="1212">
        <f t="shared" si="20"/>
        <v>0</v>
      </c>
      <c r="AD131" s="81"/>
      <c r="AG131" s="81"/>
    </row>
    <row r="132" spans="1:33" s="1258" customFormat="1" ht="15.6" customHeight="1" x14ac:dyDescent="0.25">
      <c r="A132" s="1255"/>
      <c r="B132" s="1255"/>
      <c r="C132" s="1210">
        <v>813200.75100000005</v>
      </c>
      <c r="D132" s="689" t="s">
        <v>1698</v>
      </c>
      <c r="E132" s="667">
        <v>6000</v>
      </c>
      <c r="F132" s="667">
        <v>0</v>
      </c>
      <c r="G132" s="667">
        <f>F132/11</f>
        <v>0</v>
      </c>
      <c r="H132" s="667">
        <f>F132+G132</f>
        <v>0</v>
      </c>
      <c r="I132" s="610">
        <v>6000</v>
      </c>
      <c r="J132" s="610">
        <v>5485</v>
      </c>
      <c r="K132" s="667">
        <f>J132*2</f>
        <v>10970</v>
      </c>
      <c r="P132" s="608">
        <v>5485</v>
      </c>
      <c r="Q132" s="608">
        <v>5484</v>
      </c>
      <c r="R132" s="608">
        <v>7500</v>
      </c>
      <c r="S132" s="608">
        <f>R132</f>
        <v>7500</v>
      </c>
      <c r="W132" s="610">
        <v>6000</v>
      </c>
      <c r="X132" s="961"/>
      <c r="Y132" s="81">
        <v>10970</v>
      </c>
      <c r="Z132" s="1212"/>
      <c r="AA132" s="1213"/>
      <c r="AB132" s="1213"/>
      <c r="AC132" s="1212">
        <f t="shared" si="20"/>
        <v>4970</v>
      </c>
      <c r="AD132" s="81"/>
      <c r="AG132" s="1213"/>
    </row>
    <row r="133" spans="1:33" s="1230" customFormat="1" ht="15.6" customHeight="1" x14ac:dyDescent="0.25">
      <c r="A133" s="1255" t="str">
        <f t="shared" si="36"/>
        <v>82</v>
      </c>
      <c r="B133" s="1255"/>
      <c r="C133" s="1210">
        <v>811150.82</v>
      </c>
      <c r="D133" s="689" t="s">
        <v>3224</v>
      </c>
      <c r="E133" s="610">
        <f>6608*12</f>
        <v>79296</v>
      </c>
      <c r="F133" s="667">
        <v>58968</v>
      </c>
      <c r="G133" s="667">
        <f>F133/11</f>
        <v>5360.727272727273</v>
      </c>
      <c r="H133" s="667">
        <f>F133+G133</f>
        <v>64328.727272727272</v>
      </c>
      <c r="I133" s="610">
        <f>6608*12</f>
        <v>79296</v>
      </c>
      <c r="J133" s="610">
        <v>26208</v>
      </c>
      <c r="K133" s="667">
        <v>79296</v>
      </c>
      <c r="P133" s="608">
        <v>39312</v>
      </c>
      <c r="Q133" s="608">
        <v>72072</v>
      </c>
      <c r="R133" s="608">
        <v>0</v>
      </c>
      <c r="S133" s="608">
        <f>R133</f>
        <v>0</v>
      </c>
      <c r="W133" s="610">
        <f>6608*12</f>
        <v>79296</v>
      </c>
      <c r="X133" s="961"/>
      <c r="Y133" s="81">
        <f>6608*12</f>
        <v>79296</v>
      </c>
      <c r="Z133" s="1212"/>
      <c r="AA133" s="81"/>
      <c r="AB133" s="1213"/>
      <c r="AC133" s="1212">
        <f t="shared" si="20"/>
        <v>0</v>
      </c>
      <c r="AD133" s="81"/>
      <c r="AG133" s="81"/>
    </row>
    <row r="134" spans="1:33" s="1230" customFormat="1" ht="15.6" customHeight="1" x14ac:dyDescent="0.25">
      <c r="A134" s="1255" t="str">
        <f t="shared" si="36"/>
        <v>11</v>
      </c>
      <c r="B134" s="1255"/>
      <c r="C134" s="1231" t="s">
        <v>663</v>
      </c>
      <c r="D134" s="1232" t="s">
        <v>664</v>
      </c>
      <c r="E134" s="1259">
        <f t="shared" ref="E134:AC134" si="37">SUM(E125:E133)</f>
        <v>885319</v>
      </c>
      <c r="F134" s="1259">
        <f t="shared" si="37"/>
        <v>741550</v>
      </c>
      <c r="G134" s="1259">
        <f t="shared" si="37"/>
        <v>170097.65454545454</v>
      </c>
      <c r="H134" s="1259">
        <f t="shared" si="37"/>
        <v>911647.65454545454</v>
      </c>
      <c r="I134" s="1259">
        <f t="shared" si="37"/>
        <v>854962</v>
      </c>
      <c r="J134" s="1259">
        <f t="shared" si="37"/>
        <v>200413</v>
      </c>
      <c r="K134" s="1259">
        <f t="shared" si="37"/>
        <v>1279798</v>
      </c>
      <c r="L134" s="1259">
        <f t="shared" si="37"/>
        <v>0</v>
      </c>
      <c r="M134" s="1259">
        <f t="shared" si="37"/>
        <v>0</v>
      </c>
      <c r="N134" s="1259">
        <f t="shared" si="37"/>
        <v>0</v>
      </c>
      <c r="O134" s="1260">
        <f t="shared" si="37"/>
        <v>0</v>
      </c>
      <c r="P134" s="1259">
        <f t="shared" si="37"/>
        <v>879476.51</v>
      </c>
      <c r="Q134" s="1259">
        <f t="shared" si="37"/>
        <v>1285826</v>
      </c>
      <c r="R134" s="1259">
        <f t="shared" si="37"/>
        <v>694235.44380000001</v>
      </c>
      <c r="S134" s="1259">
        <f t="shared" si="37"/>
        <v>702445.15267600003</v>
      </c>
      <c r="T134" s="1261">
        <f t="shared" si="37"/>
        <v>0</v>
      </c>
      <c r="U134" s="1259">
        <f t="shared" si="37"/>
        <v>0</v>
      </c>
      <c r="V134" s="1259">
        <f t="shared" si="37"/>
        <v>0</v>
      </c>
      <c r="W134" s="1259">
        <f t="shared" si="37"/>
        <v>725962</v>
      </c>
      <c r="X134" s="1259">
        <f t="shared" si="37"/>
        <v>0</v>
      </c>
      <c r="Y134" s="1259">
        <f t="shared" si="37"/>
        <v>794132</v>
      </c>
      <c r="Z134" s="1259">
        <f t="shared" si="37"/>
        <v>0</v>
      </c>
      <c r="AA134" s="1259">
        <f t="shared" si="37"/>
        <v>0</v>
      </c>
      <c r="AB134" s="1259">
        <f t="shared" si="37"/>
        <v>0</v>
      </c>
      <c r="AC134" s="1259">
        <f t="shared" si="37"/>
        <v>269170</v>
      </c>
      <c r="AD134" s="81" t="str">
        <f t="shared" si="23"/>
        <v>סה"כ</v>
      </c>
      <c r="AG134" s="81"/>
    </row>
    <row r="135" spans="1:33" s="1230" customFormat="1" ht="15.6" customHeight="1" x14ac:dyDescent="0.25">
      <c r="A135" s="1255" t="str">
        <f t="shared" si="36"/>
        <v/>
      </c>
      <c r="B135" s="1255"/>
      <c r="C135" s="1210"/>
      <c r="D135" s="689"/>
      <c r="E135" s="667"/>
      <c r="F135" s="603"/>
      <c r="G135" s="667"/>
      <c r="H135" s="667"/>
      <c r="I135" s="667"/>
      <c r="J135" s="667"/>
      <c r="K135" s="667"/>
      <c r="P135" s="608"/>
      <c r="Q135" s="608"/>
      <c r="R135" s="608"/>
      <c r="S135" s="608"/>
      <c r="W135" s="667"/>
      <c r="X135" s="961"/>
      <c r="Y135" s="81"/>
      <c r="Z135" s="81"/>
      <c r="AA135" s="81"/>
      <c r="AB135" s="81"/>
      <c r="AC135" s="1212">
        <f t="shared" si="20"/>
        <v>0</v>
      </c>
      <c r="AD135" s="81" t="str">
        <f t="shared" si="23"/>
        <v/>
      </c>
      <c r="AG135" s="81"/>
    </row>
    <row r="136" spans="1:33" s="1230" customFormat="1" ht="15.6" customHeight="1" x14ac:dyDescent="0.25">
      <c r="A136" s="1255" t="str">
        <f t="shared" si="36"/>
        <v>11</v>
      </c>
      <c r="B136" s="1255"/>
      <c r="C136" s="1215">
        <v>812200.11</v>
      </c>
      <c r="D136" s="1216" t="s">
        <v>3159</v>
      </c>
      <c r="E136" s="1217">
        <f>חינוך!I37</f>
        <v>2004878</v>
      </c>
      <c r="F136" s="1217">
        <v>1681448</v>
      </c>
      <c r="G136" s="1217">
        <f>F136/10*2</f>
        <v>336289.6</v>
      </c>
      <c r="H136" s="1217">
        <f t="shared" ref="H136:H141" si="38">F136+G136</f>
        <v>2017737.6</v>
      </c>
      <c r="I136" s="1217">
        <v>2090000</v>
      </c>
      <c r="J136" s="1217">
        <v>1185657</v>
      </c>
      <c r="K136" s="1217">
        <f>חינוך!K37</f>
        <v>2005963</v>
      </c>
      <c r="P136" s="1217">
        <f>שכר!AG81</f>
        <v>756240.22</v>
      </c>
      <c r="Q136" s="1217">
        <v>1829963</v>
      </c>
      <c r="R136" s="1217">
        <f>שכר!AM81</f>
        <v>677811.47100000002</v>
      </c>
      <c r="S136" s="1217">
        <f>R136*1.02</f>
        <v>691367.70042000001</v>
      </c>
      <c r="W136" s="1217">
        <f>חינוך!AH37</f>
        <v>0</v>
      </c>
      <c r="X136" s="961"/>
      <c r="Y136" s="81"/>
      <c r="Z136" s="1212"/>
      <c r="AA136" s="1213"/>
      <c r="AB136" s="1213"/>
      <c r="AC136" s="1212">
        <f t="shared" si="20"/>
        <v>-84037</v>
      </c>
      <c r="AD136" s="81" t="str">
        <f t="shared" si="23"/>
        <v>8122</v>
      </c>
      <c r="AG136" s="1213"/>
    </row>
    <row r="137" spans="1:33" s="1230" customFormat="1" ht="15.6" customHeight="1" x14ac:dyDescent="0.25">
      <c r="A137" s="1255" t="str">
        <f t="shared" si="36"/>
        <v>72</v>
      </c>
      <c r="B137" s="1255"/>
      <c r="C137" s="1210">
        <v>812200.72</v>
      </c>
      <c r="D137" s="689" t="s">
        <v>666</v>
      </c>
      <c r="E137" s="667">
        <v>30000</v>
      </c>
      <c r="F137" s="667">
        <v>3660</v>
      </c>
      <c r="G137" s="667">
        <f>F137/11</f>
        <v>332.72727272727275</v>
      </c>
      <c r="H137" s="667">
        <f t="shared" si="38"/>
        <v>3992.727272727273</v>
      </c>
      <c r="I137" s="610">
        <v>30000</v>
      </c>
      <c r="J137" s="610">
        <v>0</v>
      </c>
      <c r="K137" s="610">
        <v>30000</v>
      </c>
      <c r="P137" s="608">
        <v>0</v>
      </c>
      <c r="Q137" s="608">
        <v>0</v>
      </c>
      <c r="R137" s="608">
        <v>10000</v>
      </c>
      <c r="S137" s="608">
        <v>10000</v>
      </c>
      <c r="W137" s="610">
        <v>30000</v>
      </c>
      <c r="X137" s="961"/>
      <c r="Y137" s="81">
        <v>30000</v>
      </c>
      <c r="Z137" s="1212"/>
      <c r="AA137" s="1213"/>
      <c r="AB137" s="1213"/>
      <c r="AC137" s="1212">
        <f t="shared" si="20"/>
        <v>0</v>
      </c>
      <c r="AD137" s="81"/>
      <c r="AG137" s="1213"/>
    </row>
    <row r="138" spans="1:33" s="1230" customFormat="1" ht="14.25" customHeight="1" x14ac:dyDescent="0.25">
      <c r="A138" s="1255" t="str">
        <f t="shared" si="36"/>
        <v>75</v>
      </c>
      <c r="B138" s="1255"/>
      <c r="C138" s="1210">
        <v>812200.75</v>
      </c>
      <c r="D138" s="689" t="s">
        <v>667</v>
      </c>
      <c r="E138" s="667">
        <v>10000</v>
      </c>
      <c r="F138" s="667">
        <f>5507+3316</f>
        <v>8823</v>
      </c>
      <c r="G138" s="667">
        <f>F138/11</f>
        <v>802.09090909090912</v>
      </c>
      <c r="H138" s="667">
        <f t="shared" si="38"/>
        <v>9625.0909090909099</v>
      </c>
      <c r="I138" s="667">
        <v>10000</v>
      </c>
      <c r="J138" s="667">
        <v>2400</v>
      </c>
      <c r="K138" s="610">
        <v>10000</v>
      </c>
      <c r="P138" s="608">
        <v>3900</v>
      </c>
      <c r="Q138" s="608">
        <v>3900</v>
      </c>
      <c r="R138" s="608">
        <v>5200</v>
      </c>
      <c r="S138" s="608">
        <v>5200</v>
      </c>
      <c r="W138" s="667">
        <v>10000</v>
      </c>
      <c r="X138" s="961"/>
      <c r="Y138" s="81">
        <v>10000</v>
      </c>
      <c r="Z138" s="1212"/>
      <c r="AA138" s="1213"/>
      <c r="AB138" s="1213"/>
      <c r="AC138" s="1212">
        <f t="shared" si="20"/>
        <v>0</v>
      </c>
      <c r="AD138" s="81"/>
      <c r="AG138" s="1213"/>
    </row>
    <row r="139" spans="1:33" s="1230" customFormat="1" ht="15.6" customHeight="1" x14ac:dyDescent="0.25">
      <c r="A139" s="1255" t="str">
        <f t="shared" si="36"/>
        <v>11</v>
      </c>
      <c r="B139" s="1255"/>
      <c r="C139" s="1215">
        <v>812201.11</v>
      </c>
      <c r="D139" s="1216" t="s">
        <v>3160</v>
      </c>
      <c r="E139" s="1217">
        <f>חינוך!I58</f>
        <v>464927</v>
      </c>
      <c r="F139" s="1217">
        <v>397088</v>
      </c>
      <c r="G139" s="1217">
        <f>F139/10*2</f>
        <v>79417.600000000006</v>
      </c>
      <c r="H139" s="1217">
        <f t="shared" si="38"/>
        <v>476505.59999999998</v>
      </c>
      <c r="I139" s="1217">
        <v>503000</v>
      </c>
      <c r="J139" s="1217">
        <v>225465</v>
      </c>
      <c r="K139" s="1217">
        <f>חינוך!K58</f>
        <v>464054</v>
      </c>
      <c r="P139" s="1217">
        <f>שכר!AG96</f>
        <v>246049.01000000004</v>
      </c>
      <c r="Q139" s="1217">
        <v>359232</v>
      </c>
      <c r="R139" s="1217">
        <f>שכר!AM96</f>
        <v>207020.9694</v>
      </c>
      <c r="S139" s="1217">
        <f>R139*1.02</f>
        <v>211161.38878800001</v>
      </c>
      <c r="W139" s="1217">
        <f>חינוך!AH58</f>
        <v>0</v>
      </c>
      <c r="X139" s="961"/>
      <c r="Y139" s="81"/>
      <c r="Z139" s="1212"/>
      <c r="AA139" s="1213"/>
      <c r="AB139" s="1213"/>
      <c r="AC139" s="1212">
        <f t="shared" si="20"/>
        <v>-38946</v>
      </c>
      <c r="AD139" s="81" t="str">
        <f t="shared" si="23"/>
        <v>8122</v>
      </c>
      <c r="AG139" s="1213"/>
    </row>
    <row r="140" spans="1:33" s="1230" customFormat="1" ht="15.6" customHeight="1" x14ac:dyDescent="0.25">
      <c r="A140" s="1255" t="str">
        <f t="shared" si="36"/>
        <v>11</v>
      </c>
      <c r="B140" s="1255"/>
      <c r="C140" s="1215">
        <v>812202.11</v>
      </c>
      <c r="D140" s="1216" t="s">
        <v>669</v>
      </c>
      <c r="E140" s="1217">
        <f>חינוך!I62</f>
        <v>136100</v>
      </c>
      <c r="F140" s="1217">
        <v>28276</v>
      </c>
      <c r="G140" s="1217">
        <f>F140/10*2</f>
        <v>5655.2</v>
      </c>
      <c r="H140" s="1217">
        <f t="shared" si="38"/>
        <v>33931.199999999997</v>
      </c>
      <c r="I140" s="1217">
        <f>חינוך!K62</f>
        <v>136100</v>
      </c>
      <c r="J140" s="1217">
        <v>49635</v>
      </c>
      <c r="K140" s="1217">
        <f>חינוך!K62</f>
        <v>136100</v>
      </c>
      <c r="P140" s="1217">
        <f>שכר!AG100</f>
        <v>77459.23</v>
      </c>
      <c r="Q140" s="1217">
        <v>103847</v>
      </c>
      <c r="R140" s="1217">
        <f>שכר!AM100</f>
        <v>102390.0888</v>
      </c>
      <c r="S140" s="1217">
        <f t="shared" ref="S140:S144" si="39">R140*1.02</f>
        <v>104437.89057600001</v>
      </c>
      <c r="T140" s="1217" t="e">
        <f>שכר!#REF!</f>
        <v>#REF!</v>
      </c>
      <c r="U140" s="1217" t="e">
        <f>שכר!#REF!</f>
        <v>#REF!</v>
      </c>
      <c r="V140" s="1217" t="e">
        <f>שכר!#REF!</f>
        <v>#REF!</v>
      </c>
      <c r="W140" s="1217" t="e">
        <f>שכר!#REF!</f>
        <v>#REF!</v>
      </c>
      <c r="X140" s="1217" t="e">
        <f>שכר!#REF!</f>
        <v>#REF!</v>
      </c>
      <c r="Y140" s="1217" t="e">
        <f>שכר!#REF!</f>
        <v>#REF!</v>
      </c>
      <c r="Z140" s="1217" t="e">
        <f>שכר!#REF!</f>
        <v>#REF!</v>
      </c>
      <c r="AA140" s="1217" t="e">
        <f>שכר!#REF!</f>
        <v>#REF!</v>
      </c>
      <c r="AB140" s="1217" t="e">
        <f>שכר!#REF!</f>
        <v>#REF!</v>
      </c>
      <c r="AC140" s="1217" t="e">
        <f>שכר!#REF!</f>
        <v>#REF!</v>
      </c>
      <c r="AD140" s="81" t="str">
        <f t="shared" si="23"/>
        <v>8122</v>
      </c>
      <c r="AG140" s="1213"/>
    </row>
    <row r="141" spans="1:33" s="1230" customFormat="1" ht="15.6" customHeight="1" x14ac:dyDescent="0.25">
      <c r="A141" s="1255" t="str">
        <f t="shared" si="36"/>
        <v>11</v>
      </c>
      <c r="B141" s="1255"/>
      <c r="C141" s="1215">
        <v>812203.11</v>
      </c>
      <c r="D141" s="1216" t="s">
        <v>670</v>
      </c>
      <c r="E141" s="1217">
        <f>חינוך!I71</f>
        <v>260345</v>
      </c>
      <c r="F141" s="1217">
        <v>215761</v>
      </c>
      <c r="G141" s="1217">
        <f>F141/10*2</f>
        <v>43152.2</v>
      </c>
      <c r="H141" s="1217">
        <f t="shared" si="38"/>
        <v>258913.2</v>
      </c>
      <c r="I141" s="1217">
        <f>חינוך!K71</f>
        <v>352000</v>
      </c>
      <c r="J141" s="1217">
        <v>139237</v>
      </c>
      <c r="K141" s="1217">
        <f>חינוך!K71</f>
        <v>352000</v>
      </c>
      <c r="P141" s="1217">
        <f>שכר!AG102</f>
        <v>5994.88</v>
      </c>
      <c r="Q141" s="1217">
        <v>237046</v>
      </c>
      <c r="R141" s="1217">
        <f>שכר!AM102</f>
        <v>0</v>
      </c>
      <c r="S141" s="1217">
        <f t="shared" si="39"/>
        <v>0</v>
      </c>
      <c r="W141" s="1217">
        <f>חינוך!AH71</f>
        <v>0</v>
      </c>
      <c r="X141" s="961"/>
      <c r="Y141" s="81"/>
      <c r="Z141" s="1212"/>
      <c r="AA141" s="1213"/>
      <c r="AB141" s="81"/>
      <c r="AC141" s="1212">
        <f t="shared" si="20"/>
        <v>0</v>
      </c>
      <c r="AD141" s="81" t="str">
        <f t="shared" si="23"/>
        <v>8122</v>
      </c>
      <c r="AG141" s="1213"/>
    </row>
    <row r="142" spans="1:33" s="1230" customFormat="1" ht="15.6" customHeight="1" x14ac:dyDescent="0.25">
      <c r="A142" s="1255" t="str">
        <f t="shared" si="36"/>
        <v>11</v>
      </c>
      <c r="B142" s="1255"/>
      <c r="C142" s="1215">
        <v>812205.11</v>
      </c>
      <c r="D142" s="1216" t="s">
        <v>3161</v>
      </c>
      <c r="E142" s="1217">
        <v>0</v>
      </c>
      <c r="F142" s="1217"/>
      <c r="G142" s="1217"/>
      <c r="H142" s="1217">
        <v>0</v>
      </c>
      <c r="I142" s="1217">
        <v>0</v>
      </c>
      <c r="J142" s="1217">
        <v>0</v>
      </c>
      <c r="K142" s="1217">
        <v>0</v>
      </c>
      <c r="P142" s="1217">
        <f>שכר!AG106</f>
        <v>77803.08</v>
      </c>
      <c r="Q142" s="1217">
        <v>38212</v>
      </c>
      <c r="R142" s="1217">
        <f>שכר!AM106</f>
        <v>139504.17379999999</v>
      </c>
      <c r="S142" s="1217">
        <f t="shared" si="39"/>
        <v>142294.25727599999</v>
      </c>
      <c r="W142" s="1217"/>
      <c r="X142" s="961"/>
      <c r="Y142" s="81"/>
      <c r="Z142" s="1212"/>
      <c r="AA142" s="1213"/>
      <c r="AB142" s="81"/>
      <c r="AC142" s="1212"/>
      <c r="AD142" s="81" t="s">
        <v>758</v>
      </c>
      <c r="AG142" s="1213"/>
    </row>
    <row r="143" spans="1:33" s="1230" customFormat="1" ht="15.6" customHeight="1" x14ac:dyDescent="0.25">
      <c r="A143" s="1255" t="str">
        <f t="shared" si="36"/>
        <v>11</v>
      </c>
      <c r="B143" s="1255"/>
      <c r="C143" s="1215">
        <v>812300.11</v>
      </c>
      <c r="D143" s="1216" t="s">
        <v>3162</v>
      </c>
      <c r="E143" s="1217">
        <v>0</v>
      </c>
      <c r="F143" s="1217"/>
      <c r="G143" s="1217"/>
      <c r="H143" s="1217">
        <v>0</v>
      </c>
      <c r="I143" s="1217">
        <v>0</v>
      </c>
      <c r="J143" s="1217">
        <v>0</v>
      </c>
      <c r="K143" s="1217">
        <v>0</v>
      </c>
      <c r="P143" s="1217">
        <f>שכר!AG122</f>
        <v>693950.3899999999</v>
      </c>
      <c r="Q143" s="1217">
        <v>268500</v>
      </c>
      <c r="R143" s="1217">
        <f>שכר!AM122</f>
        <v>925061.09639999992</v>
      </c>
      <c r="S143" s="1217">
        <f t="shared" si="39"/>
        <v>943562.31832799991</v>
      </c>
      <c r="T143" s="1217" t="e">
        <f>שכר!#REF!</f>
        <v>#REF!</v>
      </c>
      <c r="U143" s="1217" t="e">
        <f>שכר!#REF!</f>
        <v>#REF!</v>
      </c>
      <c r="V143" s="1217" t="e">
        <f>שכר!#REF!</f>
        <v>#REF!</v>
      </c>
      <c r="W143" s="1217" t="e">
        <f>שכר!#REF!</f>
        <v>#REF!</v>
      </c>
      <c r="X143" s="1217" t="e">
        <f>שכר!#REF!</f>
        <v>#REF!</v>
      </c>
      <c r="Y143" s="1217" t="e">
        <f>שכר!#REF!</f>
        <v>#REF!</v>
      </c>
      <c r="Z143" s="1217" t="e">
        <f>שכר!#REF!</f>
        <v>#REF!</v>
      </c>
      <c r="AA143" s="1217" t="e">
        <f>שכר!#REF!</f>
        <v>#REF!</v>
      </c>
      <c r="AB143" s="1217" t="e">
        <f>שכר!#REF!</f>
        <v>#REF!</v>
      </c>
      <c r="AC143" s="1217" t="e">
        <f>שכר!#REF!</f>
        <v>#REF!</v>
      </c>
      <c r="AD143" s="81"/>
      <c r="AG143" s="1213"/>
    </row>
    <row r="144" spans="1:33" s="1230" customFormat="1" ht="15.6" customHeight="1" x14ac:dyDescent="0.25">
      <c r="A144" s="1255" t="str">
        <f t="shared" si="36"/>
        <v>11</v>
      </c>
      <c r="B144" s="1255"/>
      <c r="C144" s="1215">
        <v>812301.11</v>
      </c>
      <c r="D144" s="1216" t="s">
        <v>3137</v>
      </c>
      <c r="E144" s="1217">
        <v>0</v>
      </c>
      <c r="F144" s="1217"/>
      <c r="G144" s="1217"/>
      <c r="H144" s="1217">
        <v>0</v>
      </c>
      <c r="I144" s="1217">
        <v>0</v>
      </c>
      <c r="J144" s="1217">
        <v>0</v>
      </c>
      <c r="K144" s="1217">
        <v>0</v>
      </c>
      <c r="P144" s="1217">
        <f>שכר!AG133</f>
        <v>455789.18</v>
      </c>
      <c r="Q144" s="1217">
        <f>186995+22033+4363</f>
        <v>213391</v>
      </c>
      <c r="R144" s="1217">
        <f>שכר!AM133</f>
        <v>634060.27740000002</v>
      </c>
      <c r="S144" s="1217">
        <f t="shared" si="39"/>
        <v>646741.48294800008</v>
      </c>
      <c r="W144" s="1217"/>
      <c r="X144" s="961"/>
      <c r="Y144" s="81"/>
      <c r="Z144" s="1212"/>
      <c r="AA144" s="1213"/>
      <c r="AB144" s="81"/>
      <c r="AC144" s="1212"/>
      <c r="AD144" s="81"/>
      <c r="AG144" s="1213"/>
    </row>
    <row r="145" spans="1:33" s="1230" customFormat="1" ht="15.6" customHeight="1" x14ac:dyDescent="0.25">
      <c r="A145" s="1255" t="str">
        <f t="shared" si="36"/>
        <v>41</v>
      </c>
      <c r="B145" s="1255"/>
      <c r="C145" s="1210">
        <v>812300.41</v>
      </c>
      <c r="D145" s="689" t="s">
        <v>671</v>
      </c>
      <c r="E145" s="610">
        <v>504000</v>
      </c>
      <c r="F145" s="667">
        <v>378030</v>
      </c>
      <c r="G145" s="667">
        <f>F145/11+90000</f>
        <v>124366.36363636365</v>
      </c>
      <c r="H145" s="667">
        <f t="shared" ref="H145:H151" si="40">F145+G145</f>
        <v>502396.36363636365</v>
      </c>
      <c r="I145" s="610">
        <f>3000*14*12-3000*4</f>
        <v>492000</v>
      </c>
      <c r="J145" s="610">
        <v>219630</v>
      </c>
      <c r="K145" s="610">
        <v>504000</v>
      </c>
      <c r="P145" s="608">
        <v>316283</v>
      </c>
      <c r="Q145" s="608">
        <v>424050</v>
      </c>
      <c r="R145" s="608">
        <f>3000*14*12</f>
        <v>504000</v>
      </c>
      <c r="S145" s="608">
        <f t="shared" ref="S145:S151" si="41">R145</f>
        <v>504000</v>
      </c>
      <c r="W145" s="610">
        <f>8*3000*12-1*3000*12</f>
        <v>252000</v>
      </c>
      <c r="X145" s="961"/>
      <c r="Y145" s="81">
        <f>14*12*3000</f>
        <v>504000</v>
      </c>
      <c r="Z145" s="81"/>
      <c r="AA145" s="81"/>
      <c r="AB145" s="81"/>
      <c r="AC145" s="1212">
        <f t="shared" si="20"/>
        <v>12000</v>
      </c>
      <c r="AD145" s="81"/>
      <c r="AG145" s="81"/>
    </row>
    <row r="146" spans="1:33" s="1230" customFormat="1" ht="15.6" customHeight="1" x14ac:dyDescent="0.25">
      <c r="A146" s="1255" t="str">
        <f t="shared" si="36"/>
        <v>42</v>
      </c>
      <c r="B146" s="1255"/>
      <c r="C146" s="1210">
        <v>812300.42</v>
      </c>
      <c r="D146" s="689" t="s">
        <v>672</v>
      </c>
      <c r="E146" s="667">
        <v>5000</v>
      </c>
      <c r="F146" s="667">
        <v>4202</v>
      </c>
      <c r="G146" s="667">
        <f t="shared" ref="G146:G151" si="42">F146/11</f>
        <v>382</v>
      </c>
      <c r="H146" s="667">
        <f t="shared" si="40"/>
        <v>4584</v>
      </c>
      <c r="I146" s="667">
        <v>5000</v>
      </c>
      <c r="J146" s="667">
        <v>0</v>
      </c>
      <c r="K146" s="610">
        <v>5000</v>
      </c>
      <c r="L146" s="1235"/>
      <c r="M146" s="1235"/>
      <c r="N146" s="1235"/>
      <c r="O146" s="1235"/>
      <c r="P146" s="608">
        <v>2050</v>
      </c>
      <c r="Q146" s="608">
        <v>2050</v>
      </c>
      <c r="R146" s="608">
        <v>3000</v>
      </c>
      <c r="S146" s="608">
        <f t="shared" si="41"/>
        <v>3000</v>
      </c>
      <c r="W146" s="667">
        <v>5000</v>
      </c>
      <c r="X146" s="961"/>
      <c r="Y146" s="81">
        <v>5000</v>
      </c>
      <c r="Z146" s="1212"/>
      <c r="AA146" s="1213"/>
      <c r="AB146" s="1213"/>
      <c r="AC146" s="1212">
        <f t="shared" si="20"/>
        <v>0</v>
      </c>
      <c r="AD146" s="81"/>
      <c r="AG146" s="1213"/>
    </row>
    <row r="147" spans="1:33" s="1230" customFormat="1" ht="15.6" customHeight="1" x14ac:dyDescent="0.25">
      <c r="A147" s="1255" t="str">
        <f t="shared" si="36"/>
        <v>31</v>
      </c>
      <c r="B147" s="1255"/>
      <c r="C147" s="1210">
        <v>812300.43099999998</v>
      </c>
      <c r="D147" s="689" t="s">
        <v>673</v>
      </c>
      <c r="E147" s="667">
        <v>70000</v>
      </c>
      <c r="F147" s="667">
        <v>42843</v>
      </c>
      <c r="G147" s="667">
        <f t="shared" si="42"/>
        <v>3894.818181818182</v>
      </c>
      <c r="H147" s="667">
        <f t="shared" si="40"/>
        <v>46737.818181818184</v>
      </c>
      <c r="I147" s="667">
        <f>70000-3300</f>
        <v>66700</v>
      </c>
      <c r="J147" s="667">
        <v>30354</v>
      </c>
      <c r="K147" s="610">
        <v>66700</v>
      </c>
      <c r="P147" s="608">
        <v>47023</v>
      </c>
      <c r="Q147" s="608">
        <v>60276</v>
      </c>
      <c r="R147" s="608">
        <v>63000</v>
      </c>
      <c r="S147" s="608">
        <f t="shared" si="41"/>
        <v>63000</v>
      </c>
      <c r="W147" s="667">
        <f>70000-3300</f>
        <v>66700</v>
      </c>
      <c r="X147" s="961"/>
      <c r="Y147" s="81">
        <v>66700</v>
      </c>
      <c r="Z147" s="1212"/>
      <c r="AA147" s="1213"/>
      <c r="AB147" s="1213"/>
      <c r="AC147" s="1212">
        <f t="shared" si="20"/>
        <v>0</v>
      </c>
      <c r="AD147" s="81"/>
      <c r="AG147" s="1213"/>
    </row>
    <row r="148" spans="1:33" s="1230" customFormat="1" ht="14.25" customHeight="1" x14ac:dyDescent="0.25">
      <c r="A148" s="1255" t="str">
        <f t="shared" si="36"/>
        <v>32</v>
      </c>
      <c r="B148" s="1255"/>
      <c r="C148" s="1210">
        <v>812300.43200000003</v>
      </c>
      <c r="D148" s="689" t="s">
        <v>674</v>
      </c>
      <c r="E148" s="667">
        <v>40000</v>
      </c>
      <c r="F148" s="667">
        <v>33562</v>
      </c>
      <c r="G148" s="667">
        <f t="shared" si="42"/>
        <v>3051.090909090909</v>
      </c>
      <c r="H148" s="667">
        <f t="shared" si="40"/>
        <v>36613.090909090912</v>
      </c>
      <c r="I148" s="667">
        <v>40000</v>
      </c>
      <c r="J148" s="667">
        <v>8500</v>
      </c>
      <c r="K148" s="610">
        <v>40000</v>
      </c>
      <c r="P148" s="608">
        <v>18508</v>
      </c>
      <c r="Q148" s="608">
        <v>32152</v>
      </c>
      <c r="R148" s="608">
        <v>25000</v>
      </c>
      <c r="S148" s="608">
        <f t="shared" si="41"/>
        <v>25000</v>
      </c>
      <c r="W148" s="667">
        <v>38000</v>
      </c>
      <c r="X148" s="961"/>
      <c r="Y148" s="81">
        <v>40000</v>
      </c>
      <c r="Z148" s="81"/>
      <c r="AA148" s="81"/>
      <c r="AB148" s="81"/>
      <c r="AC148" s="1212">
        <f t="shared" si="20"/>
        <v>0</v>
      </c>
      <c r="AD148" s="81"/>
      <c r="AG148" s="81"/>
    </row>
    <row r="149" spans="1:33" s="1230" customFormat="1" ht="15.6" customHeight="1" x14ac:dyDescent="0.25">
      <c r="A149" s="1255" t="str">
        <f t="shared" si="36"/>
        <v>54</v>
      </c>
      <c r="B149" s="1255"/>
      <c r="C149" s="1210">
        <v>812300.54</v>
      </c>
      <c r="D149" s="689" t="s">
        <v>1699</v>
      </c>
      <c r="E149" s="667">
        <v>30700</v>
      </c>
      <c r="F149" s="667">
        <v>25739</v>
      </c>
      <c r="G149" s="667">
        <f t="shared" si="42"/>
        <v>2339.909090909091</v>
      </c>
      <c r="H149" s="667">
        <f t="shared" si="40"/>
        <v>28078.909090909092</v>
      </c>
      <c r="I149" s="667">
        <f>F149*2</f>
        <v>51478</v>
      </c>
      <c r="J149" s="667">
        <v>12759</v>
      </c>
      <c r="K149" s="610">
        <v>51478</v>
      </c>
      <c r="P149" s="608">
        <v>19847</v>
      </c>
      <c r="Q149" s="608">
        <v>28967</v>
      </c>
      <c r="R149" s="608">
        <v>26000</v>
      </c>
      <c r="S149" s="608">
        <f t="shared" si="41"/>
        <v>26000</v>
      </c>
      <c r="W149" s="667">
        <v>31462</v>
      </c>
      <c r="X149" s="961"/>
      <c r="Y149" s="81">
        <v>51478</v>
      </c>
      <c r="Z149" s="1212"/>
      <c r="AA149" s="1213"/>
      <c r="AB149" s="1213"/>
      <c r="AC149" s="1212">
        <f t="shared" ref="AC149:AC216" si="43">K149-I149</f>
        <v>0</v>
      </c>
      <c r="AD149" s="81"/>
      <c r="AG149" s="1213"/>
    </row>
    <row r="150" spans="1:33" s="1230" customFormat="1" ht="15.6" customHeight="1" x14ac:dyDescent="0.25">
      <c r="A150" s="1255" t="str">
        <f t="shared" si="36"/>
        <v>78</v>
      </c>
      <c r="B150" s="1255"/>
      <c r="C150" s="1210">
        <v>812300.78</v>
      </c>
      <c r="D150" s="689" t="s">
        <v>675</v>
      </c>
      <c r="E150" s="667">
        <v>104000</v>
      </c>
      <c r="F150" s="667">
        <v>104050</v>
      </c>
      <c r="G150" s="667">
        <f t="shared" si="42"/>
        <v>9459.0909090909099</v>
      </c>
      <c r="H150" s="667">
        <f t="shared" si="40"/>
        <v>113509.09090909091</v>
      </c>
      <c r="I150" s="667">
        <f>1000*21*4+1-1000</f>
        <v>83001</v>
      </c>
      <c r="J150" s="667">
        <v>37402</v>
      </c>
      <c r="K150" s="610">
        <v>83001</v>
      </c>
      <c r="P150" s="608">
        <v>58402</v>
      </c>
      <c r="Q150" s="608">
        <v>58402</v>
      </c>
      <c r="R150" s="608">
        <f>1000*21*4</f>
        <v>84000</v>
      </c>
      <c r="S150" s="608">
        <f t="shared" si="41"/>
        <v>84000</v>
      </c>
      <c r="W150" s="667">
        <f>1000*21*4-1000*4</f>
        <v>80000</v>
      </c>
      <c r="X150" s="961"/>
      <c r="Y150" s="81">
        <v>83001</v>
      </c>
      <c r="Z150" s="1212"/>
      <c r="AA150" s="1213"/>
      <c r="AB150" s="1213"/>
      <c r="AC150" s="1212">
        <f t="shared" si="43"/>
        <v>0</v>
      </c>
      <c r="AD150" s="81"/>
      <c r="AG150" s="1213"/>
    </row>
    <row r="151" spans="1:33" s="1230" customFormat="1" ht="15.6" customHeight="1" x14ac:dyDescent="0.25">
      <c r="A151" s="1255" t="str">
        <f t="shared" si="36"/>
        <v>75</v>
      </c>
      <c r="B151" s="1255"/>
      <c r="C151" s="1210">
        <v>812301.75</v>
      </c>
      <c r="D151" s="689" t="s">
        <v>676</v>
      </c>
      <c r="E151" s="667">
        <v>2895300</v>
      </c>
      <c r="F151" s="673">
        <v>3005270</v>
      </c>
      <c r="G151" s="667">
        <f t="shared" si="42"/>
        <v>273206.36363636365</v>
      </c>
      <c r="H151" s="667">
        <f t="shared" si="40"/>
        <v>3278476.3636363638</v>
      </c>
      <c r="I151" s="667">
        <f>2895300-10455*4</f>
        <v>2853480</v>
      </c>
      <c r="J151" s="667">
        <v>1814588</v>
      </c>
      <c r="K151" s="667">
        <v>2940000</v>
      </c>
      <c r="P151" s="608">
        <v>2708381</v>
      </c>
      <c r="Q151" s="608">
        <v>3469623</v>
      </c>
      <c r="R151" s="608">
        <v>3612000</v>
      </c>
      <c r="S151" s="608">
        <f t="shared" si="41"/>
        <v>3612000</v>
      </c>
      <c r="W151" s="673">
        <f>2895300-10455*12</f>
        <v>2769840</v>
      </c>
      <c r="X151" s="961"/>
      <c r="Y151" s="81" t="s">
        <v>2036</v>
      </c>
      <c r="Z151" s="1212"/>
      <c r="AA151" s="1213"/>
      <c r="AB151" s="1213"/>
      <c r="AC151" s="1212">
        <f t="shared" si="43"/>
        <v>86520</v>
      </c>
      <c r="AD151" s="81"/>
      <c r="AG151" s="1213"/>
    </row>
    <row r="152" spans="1:33" s="1230" customFormat="1" ht="15.6" customHeight="1" x14ac:dyDescent="0.25">
      <c r="A152" s="1255"/>
      <c r="B152" s="1255"/>
      <c r="C152" s="1215">
        <v>812500.11</v>
      </c>
      <c r="D152" s="1216" t="s">
        <v>3170</v>
      </c>
      <c r="E152" s="1217">
        <v>0</v>
      </c>
      <c r="F152" s="1217">
        <v>107604</v>
      </c>
      <c r="G152" s="1217">
        <f>F152/10*2</f>
        <v>21520.799999999999</v>
      </c>
      <c r="H152" s="1217">
        <v>0</v>
      </c>
      <c r="I152" s="1217">
        <v>0</v>
      </c>
      <c r="J152" s="1217">
        <v>0</v>
      </c>
      <c r="K152" s="1217">
        <v>0</v>
      </c>
      <c r="P152" s="1217">
        <f>שכר!AG139</f>
        <v>0</v>
      </c>
      <c r="Q152" s="1217">
        <v>11361</v>
      </c>
      <c r="R152" s="1217">
        <f>שכר!AM139</f>
        <v>110000</v>
      </c>
      <c r="S152" s="1217">
        <f t="shared" ref="S152:S153" si="44">R152*1.02</f>
        <v>112200</v>
      </c>
      <c r="W152" s="673"/>
      <c r="X152" s="961"/>
      <c r="Y152" s="81"/>
      <c r="Z152" s="1212"/>
      <c r="AA152" s="1213"/>
      <c r="AB152" s="1213"/>
      <c r="AC152" s="1212"/>
      <c r="AD152" s="81" t="str">
        <f t="shared" si="23"/>
        <v>8125</v>
      </c>
      <c r="AG152" s="1213"/>
    </row>
    <row r="153" spans="1:33" s="1230" customFormat="1" ht="15.6" customHeight="1" x14ac:dyDescent="0.25">
      <c r="A153" s="1255" t="str">
        <f t="shared" si="36"/>
        <v>11</v>
      </c>
      <c r="B153" s="1255"/>
      <c r="C153" s="1215">
        <v>813610.11</v>
      </c>
      <c r="D153" s="1216" t="s">
        <v>677</v>
      </c>
      <c r="E153" s="1217">
        <f>חינוך!I76</f>
        <v>144000</v>
      </c>
      <c r="F153" s="1217">
        <v>107604</v>
      </c>
      <c r="G153" s="1217">
        <f>F153/10*2</f>
        <v>21520.799999999999</v>
      </c>
      <c r="H153" s="1217">
        <f t="shared" ref="H153:H163" si="45">F153+G153</f>
        <v>129124.8</v>
      </c>
      <c r="I153" s="1217">
        <f>חינוך!K76</f>
        <v>144000</v>
      </c>
      <c r="J153" s="1217">
        <v>71345</v>
      </c>
      <c r="K153" s="1217">
        <f>חינוך!K76</f>
        <v>144000</v>
      </c>
      <c r="P153" s="1217">
        <f>שכר!AG145</f>
        <v>106382.38999999998</v>
      </c>
      <c r="Q153" s="1217">
        <v>139114</v>
      </c>
      <c r="R153" s="1217">
        <f>שכר!AM145</f>
        <v>118808.5698</v>
      </c>
      <c r="S153" s="1217">
        <f t="shared" si="44"/>
        <v>121184.741196</v>
      </c>
      <c r="T153" s="1217" t="e">
        <f>שכר!#REF!</f>
        <v>#REF!</v>
      </c>
      <c r="U153" s="1217" t="e">
        <f>שכר!#REF!</f>
        <v>#REF!</v>
      </c>
      <c r="V153" s="1217" t="e">
        <f>שכר!#REF!</f>
        <v>#REF!</v>
      </c>
      <c r="W153" s="1217" t="e">
        <f>שכר!#REF!</f>
        <v>#REF!</v>
      </c>
      <c r="X153" s="1217" t="e">
        <f>שכר!#REF!</f>
        <v>#REF!</v>
      </c>
      <c r="Y153" s="1217" t="e">
        <f>שכר!#REF!</f>
        <v>#REF!</v>
      </c>
      <c r="Z153" s="1217" t="e">
        <f>שכר!#REF!</f>
        <v>#REF!</v>
      </c>
      <c r="AA153" s="1217" t="e">
        <f>שכר!#REF!</f>
        <v>#REF!</v>
      </c>
      <c r="AB153" s="1217" t="e">
        <f>שכר!#REF!</f>
        <v>#REF!</v>
      </c>
      <c r="AC153" s="1217" t="e">
        <f>שכר!#REF!</f>
        <v>#REF!</v>
      </c>
      <c r="AD153" s="81" t="str">
        <f t="shared" si="23"/>
        <v>8136</v>
      </c>
      <c r="AG153" s="1213"/>
    </row>
    <row r="154" spans="1:33" s="1230" customFormat="1" ht="15.6" customHeight="1" x14ac:dyDescent="0.25">
      <c r="A154" s="1255" t="str">
        <f t="shared" si="36"/>
        <v>78</v>
      </c>
      <c r="B154" s="1255"/>
      <c r="C154" s="1236">
        <v>813610.78</v>
      </c>
      <c r="D154" s="1237" t="s">
        <v>678</v>
      </c>
      <c r="E154" s="610">
        <v>140000</v>
      </c>
      <c r="F154" s="667">
        <v>19500</v>
      </c>
      <c r="G154" s="667">
        <f>F154/11+118000</f>
        <v>119772.72727272728</v>
      </c>
      <c r="H154" s="667">
        <f t="shared" si="45"/>
        <v>139272.72727272729</v>
      </c>
      <c r="I154" s="610">
        <v>141880</v>
      </c>
      <c r="J154" s="610">
        <v>8374</v>
      </c>
      <c r="K154" s="610">
        <v>141880</v>
      </c>
      <c r="P154" s="608">
        <v>43999</v>
      </c>
      <c r="Q154" s="608">
        <v>43908</v>
      </c>
      <c r="R154" s="608">
        <v>156191</v>
      </c>
      <c r="S154" s="608">
        <f>R154</f>
        <v>156191</v>
      </c>
      <c r="W154" s="610">
        <v>141880</v>
      </c>
      <c r="X154" s="961"/>
      <c r="Y154" s="81">
        <v>141880</v>
      </c>
      <c r="Z154" s="81"/>
      <c r="AA154" s="81"/>
      <c r="AB154" s="81"/>
      <c r="AC154" s="1212">
        <f t="shared" si="43"/>
        <v>0</v>
      </c>
      <c r="AD154" s="81"/>
      <c r="AG154" s="81"/>
    </row>
    <row r="155" spans="1:33" s="1230" customFormat="1" ht="15.6" customHeight="1" x14ac:dyDescent="0.25">
      <c r="A155" s="1255" t="str">
        <f t="shared" si="36"/>
        <v>78</v>
      </c>
      <c r="B155" s="1255"/>
      <c r="C155" s="1210">
        <v>812202.78</v>
      </c>
      <c r="D155" s="689" t="s">
        <v>679</v>
      </c>
      <c r="E155" s="667">
        <v>30000</v>
      </c>
      <c r="F155" s="667">
        <v>16000</v>
      </c>
      <c r="G155" s="667">
        <f>F155/11</f>
        <v>1454.5454545454545</v>
      </c>
      <c r="H155" s="667">
        <f t="shared" si="45"/>
        <v>17454.545454545456</v>
      </c>
      <c r="I155" s="667">
        <v>30000</v>
      </c>
      <c r="J155" s="667">
        <v>25300</v>
      </c>
      <c r="K155" s="610">
        <v>50600</v>
      </c>
      <c r="P155" s="608">
        <v>25300</v>
      </c>
      <c r="Q155" s="608">
        <v>25300</v>
      </c>
      <c r="R155" s="608">
        <f>166100-R140</f>
        <v>63709.911200000002</v>
      </c>
      <c r="S155" s="608">
        <f>R155</f>
        <v>63709.911200000002</v>
      </c>
      <c r="W155" s="667">
        <v>30000</v>
      </c>
      <c r="X155" s="961"/>
      <c r="Y155" s="81">
        <v>50600</v>
      </c>
      <c r="Z155" s="1212"/>
      <c r="AA155" s="1213"/>
      <c r="AB155" s="1213"/>
      <c r="AC155" s="1212">
        <f t="shared" si="43"/>
        <v>20600</v>
      </c>
      <c r="AD155" s="81"/>
      <c r="AG155" s="1213"/>
    </row>
    <row r="156" spans="1:33" s="1230" customFormat="1" ht="15.6" customHeight="1" x14ac:dyDescent="0.25">
      <c r="A156" s="1255" t="str">
        <f t="shared" si="36"/>
        <v>78</v>
      </c>
      <c r="B156" s="1255"/>
      <c r="C156" s="1210">
        <v>812500.78</v>
      </c>
      <c r="D156" s="689" t="s">
        <v>3270</v>
      </c>
      <c r="E156" s="667">
        <v>102236</v>
      </c>
      <c r="F156" s="667">
        <v>107906</v>
      </c>
      <c r="G156" s="667">
        <f>F156/11</f>
        <v>9809.636363636364</v>
      </c>
      <c r="H156" s="667">
        <f t="shared" si="45"/>
        <v>117715.63636363637</v>
      </c>
      <c r="I156" s="667">
        <v>102236</v>
      </c>
      <c r="J156" s="667">
        <v>13381</v>
      </c>
      <c r="K156" s="610">
        <v>102236</v>
      </c>
      <c r="P156" s="608">
        <v>21598</v>
      </c>
      <c r="Q156" s="608">
        <f>78306+1007</f>
        <v>79313</v>
      </c>
      <c r="R156" s="608">
        <v>102236</v>
      </c>
      <c r="S156" s="608">
        <f>R156</f>
        <v>102236</v>
      </c>
      <c r="W156" s="673">
        <v>102236</v>
      </c>
      <c r="X156" s="961"/>
      <c r="Y156" s="81">
        <v>102236</v>
      </c>
      <c r="Z156" s="1212"/>
      <c r="AA156" s="1213"/>
      <c r="AB156" s="1213"/>
      <c r="AC156" s="1212">
        <f t="shared" si="43"/>
        <v>0</v>
      </c>
      <c r="AD156" s="81"/>
      <c r="AG156" s="1213"/>
    </row>
    <row r="157" spans="1:33" s="1230" customFormat="1" ht="15.6" customHeight="1" x14ac:dyDescent="0.25">
      <c r="A157" s="1255" t="str">
        <f t="shared" si="36"/>
        <v>11</v>
      </c>
      <c r="B157" s="1255"/>
      <c r="C157" s="1215">
        <v>813611.11</v>
      </c>
      <c r="D157" s="1216" t="s">
        <v>680</v>
      </c>
      <c r="E157" s="1217">
        <f>חינוך!I79</f>
        <v>110000</v>
      </c>
      <c r="F157" s="1217">
        <v>19645</v>
      </c>
      <c r="G157" s="1217">
        <f>F157/10*2</f>
        <v>3929</v>
      </c>
      <c r="H157" s="1217">
        <f t="shared" si="45"/>
        <v>23574</v>
      </c>
      <c r="I157" s="1217">
        <v>110000</v>
      </c>
      <c r="J157" s="1217">
        <v>35900</v>
      </c>
      <c r="K157" s="1217">
        <f>חינוך!K79</f>
        <v>130000</v>
      </c>
      <c r="P157" s="1217">
        <f>שכר!AG149</f>
        <v>49997.869999999995</v>
      </c>
      <c r="Q157" s="1217">
        <v>41387</v>
      </c>
      <c r="R157" s="1217">
        <f>שכר!AM149</f>
        <v>132520</v>
      </c>
      <c r="S157" s="1217">
        <f t="shared" ref="S157:S158" si="46">R157*1.02</f>
        <v>135170.4</v>
      </c>
      <c r="W157" s="1217">
        <v>98120</v>
      </c>
      <c r="X157" s="961"/>
      <c r="Y157" s="81"/>
      <c r="Z157" s="81"/>
      <c r="AA157" s="81"/>
      <c r="AB157" s="81"/>
      <c r="AC157" s="1212">
        <f t="shared" si="43"/>
        <v>20000</v>
      </c>
      <c r="AD157" s="81" t="str">
        <f t="shared" ref="AD157:AD219" si="47">LEFT(C157,4)</f>
        <v>8136</v>
      </c>
      <c r="AG157" s="81"/>
    </row>
    <row r="158" spans="1:33" s="1230" customFormat="1" ht="15.6" customHeight="1" x14ac:dyDescent="0.25">
      <c r="A158" s="1255" t="str">
        <f t="shared" si="36"/>
        <v>11</v>
      </c>
      <c r="B158" s="1255"/>
      <c r="C158" s="1215">
        <v>813620.11</v>
      </c>
      <c r="D158" s="1216" t="s">
        <v>681</v>
      </c>
      <c r="E158" s="1217">
        <f>חינוך!I82</f>
        <v>240000</v>
      </c>
      <c r="F158" s="1217">
        <v>57143</v>
      </c>
      <c r="G158" s="1217">
        <f>F158/10*2</f>
        <v>11428.6</v>
      </c>
      <c r="H158" s="1217">
        <f t="shared" si="45"/>
        <v>68571.600000000006</v>
      </c>
      <c r="I158" s="1217">
        <v>240000</v>
      </c>
      <c r="J158" s="1217">
        <v>84823</v>
      </c>
      <c r="K158" s="1217">
        <f>חינוך!K82</f>
        <v>192000</v>
      </c>
      <c r="P158" s="1217">
        <f>שכר!AG155</f>
        <v>114821.79</v>
      </c>
      <c r="Q158" s="1217">
        <v>129898</v>
      </c>
      <c r="R158" s="1217">
        <f>שכר!AM155</f>
        <v>256727</v>
      </c>
      <c r="S158" s="1217">
        <f t="shared" si="46"/>
        <v>261861.54</v>
      </c>
      <c r="W158" s="1217">
        <f>חינוך!AH82</f>
        <v>0</v>
      </c>
      <c r="X158" s="961"/>
      <c r="Y158" s="81"/>
      <c r="Z158" s="1212"/>
      <c r="AA158" s="1213"/>
      <c r="AB158" s="1213"/>
      <c r="AC158" s="1212">
        <f t="shared" si="43"/>
        <v>-48000</v>
      </c>
      <c r="AD158" s="81" t="str">
        <f t="shared" si="47"/>
        <v>8136</v>
      </c>
      <c r="AG158" s="1213"/>
    </row>
    <row r="159" spans="1:33" s="1230" customFormat="1" ht="15.6" customHeight="1" x14ac:dyDescent="0.25">
      <c r="A159" s="1255" t="str">
        <f t="shared" si="36"/>
        <v>78</v>
      </c>
      <c r="B159" s="1255"/>
      <c r="C159" s="1210">
        <v>813620.78</v>
      </c>
      <c r="D159" s="689" t="s">
        <v>682</v>
      </c>
      <c r="E159" s="667">
        <v>200000</v>
      </c>
      <c r="F159" s="667">
        <v>67938</v>
      </c>
      <c r="G159" s="667">
        <f>F159/11+125000</f>
        <v>131176.18181818182</v>
      </c>
      <c r="H159" s="667">
        <f t="shared" si="45"/>
        <v>199114.18181818182</v>
      </c>
      <c r="I159" s="610">
        <v>200000</v>
      </c>
      <c r="J159" s="667">
        <v>72160</v>
      </c>
      <c r="K159" s="667">
        <v>466145</v>
      </c>
      <c r="L159" s="1235"/>
      <c r="M159" s="1235"/>
      <c r="N159" s="1235"/>
      <c r="O159" s="1235"/>
      <c r="P159" s="608">
        <v>317861</v>
      </c>
      <c r="Q159" s="608">
        <v>334860</v>
      </c>
      <c r="R159" s="608">
        <f>496437-שכר!AM154</f>
        <v>369710</v>
      </c>
      <c r="S159" s="608">
        <f>R159</f>
        <v>369710</v>
      </c>
      <c r="W159" s="667">
        <v>541145</v>
      </c>
      <c r="X159" s="961"/>
      <c r="Y159" s="81">
        <v>466145</v>
      </c>
      <c r="Z159" s="1212"/>
      <c r="AA159" s="1213"/>
      <c r="AB159" s="1213"/>
      <c r="AC159" s="1212">
        <f t="shared" si="43"/>
        <v>266145</v>
      </c>
      <c r="AD159" s="81"/>
      <c r="AG159" s="1213"/>
    </row>
    <row r="160" spans="1:33" s="1230" customFormat="1" ht="15.6" customHeight="1" x14ac:dyDescent="0.25">
      <c r="A160" s="1255" t="str">
        <f t="shared" si="36"/>
        <v>11</v>
      </c>
      <c r="B160" s="1255"/>
      <c r="C160" s="1215">
        <v>812515.11</v>
      </c>
      <c r="D160" s="1216" t="s">
        <v>683</v>
      </c>
      <c r="E160" s="1217">
        <f>חינוך!I84</f>
        <v>50600</v>
      </c>
      <c r="F160" s="1217">
        <v>41658</v>
      </c>
      <c r="G160" s="1217">
        <f>F160/10*2</f>
        <v>8331.6</v>
      </c>
      <c r="H160" s="1217">
        <f t="shared" si="45"/>
        <v>49989.599999999999</v>
      </c>
      <c r="I160" s="1217">
        <f>חינוך!K84</f>
        <v>50600</v>
      </c>
      <c r="J160" s="1217">
        <v>4355</v>
      </c>
      <c r="K160" s="1217">
        <f>חינוך!K84</f>
        <v>50600</v>
      </c>
      <c r="P160" s="1217">
        <v>0</v>
      </c>
      <c r="Q160" s="1217">
        <v>0</v>
      </c>
      <c r="R160" s="1217">
        <f>שכר!AM108</f>
        <v>0</v>
      </c>
      <c r="S160" s="1217"/>
      <c r="W160" s="1217">
        <f>חינוך!AH84</f>
        <v>0</v>
      </c>
      <c r="X160" s="961"/>
      <c r="Y160" s="81"/>
      <c r="Z160" s="1212"/>
      <c r="AA160" s="1213"/>
      <c r="AB160" s="1213"/>
      <c r="AC160" s="1212">
        <f t="shared" si="43"/>
        <v>0</v>
      </c>
      <c r="AD160" s="81" t="str">
        <f t="shared" si="47"/>
        <v>8125</v>
      </c>
      <c r="AG160" s="1213"/>
    </row>
    <row r="161" spans="1:33" s="1230" customFormat="1" ht="15.6" customHeight="1" x14ac:dyDescent="0.25">
      <c r="A161" s="1255" t="str">
        <f t="shared" si="36"/>
        <v>54</v>
      </c>
      <c r="B161" s="1255"/>
      <c r="C161" s="1210">
        <v>812515.54</v>
      </c>
      <c r="D161" s="689" t="s">
        <v>684</v>
      </c>
      <c r="E161" s="610">
        <f>104000-E160</f>
        <v>53400</v>
      </c>
      <c r="F161" s="667">
        <v>0</v>
      </c>
      <c r="G161" s="667">
        <v>53400</v>
      </c>
      <c r="H161" s="667">
        <f t="shared" si="45"/>
        <v>53400</v>
      </c>
      <c r="I161" s="610">
        <v>53400</v>
      </c>
      <c r="J161" s="610">
        <v>0</v>
      </c>
      <c r="K161" s="610">
        <f>J161*2</f>
        <v>0</v>
      </c>
      <c r="P161" s="608">
        <v>4356</v>
      </c>
      <c r="Q161" s="608">
        <v>4355</v>
      </c>
      <c r="R161" s="608">
        <v>0</v>
      </c>
      <c r="S161" s="608">
        <f>R161</f>
        <v>0</v>
      </c>
      <c r="W161" s="610">
        <v>4000</v>
      </c>
      <c r="X161" s="961"/>
      <c r="Y161" s="81"/>
      <c r="Z161" s="81"/>
      <c r="AA161" s="81"/>
      <c r="AB161" s="81"/>
      <c r="AC161" s="1212">
        <f t="shared" si="43"/>
        <v>-53400</v>
      </c>
      <c r="AD161" s="81"/>
      <c r="AG161" s="81"/>
    </row>
    <row r="162" spans="1:33" s="1230" customFormat="1" ht="15.6" customHeight="1" x14ac:dyDescent="0.25">
      <c r="A162" s="1255"/>
      <c r="B162" s="1255"/>
      <c r="C162" s="1215">
        <v>812517.11</v>
      </c>
      <c r="D162" s="1216" t="s">
        <v>684</v>
      </c>
      <c r="E162" s="1217">
        <f>חינוך!I85</f>
        <v>0</v>
      </c>
      <c r="F162" s="667"/>
      <c r="G162" s="667"/>
      <c r="H162" s="1217">
        <f t="shared" si="45"/>
        <v>0</v>
      </c>
      <c r="I162" s="1217">
        <v>68500</v>
      </c>
      <c r="J162" s="1217">
        <v>0</v>
      </c>
      <c r="K162" s="1217">
        <v>0</v>
      </c>
      <c r="P162" s="1217">
        <v>0</v>
      </c>
      <c r="Q162" s="1217">
        <v>0</v>
      </c>
      <c r="R162" s="1217">
        <f>שכר!AM157</f>
        <v>0</v>
      </c>
      <c r="S162" s="1217">
        <v>0</v>
      </c>
      <c r="W162" s="610"/>
      <c r="X162" s="961"/>
      <c r="Y162" s="81"/>
      <c r="Z162" s="81"/>
      <c r="AA162" s="81"/>
      <c r="AB162" s="81"/>
      <c r="AC162" s="1212"/>
      <c r="AD162" s="81"/>
      <c r="AG162" s="81"/>
    </row>
    <row r="163" spans="1:33" s="1230" customFormat="1" ht="15.6" customHeight="1" x14ac:dyDescent="0.25">
      <c r="A163" s="1255" t="str">
        <f t="shared" si="36"/>
        <v>11</v>
      </c>
      <c r="B163" s="1255"/>
      <c r="C163" s="1215">
        <v>812600.11</v>
      </c>
      <c r="D163" s="1216" t="s">
        <v>3163</v>
      </c>
      <c r="E163" s="1217">
        <f>חינוך!I85</f>
        <v>0</v>
      </c>
      <c r="F163" s="1217">
        <v>0</v>
      </c>
      <c r="G163" s="1217">
        <f>F163/10*2</f>
        <v>0</v>
      </c>
      <c r="H163" s="1217">
        <f t="shared" si="45"/>
        <v>0</v>
      </c>
      <c r="I163" s="1217">
        <v>0</v>
      </c>
      <c r="J163" s="1217">
        <v>0</v>
      </c>
      <c r="K163" s="1217">
        <v>0</v>
      </c>
      <c r="P163" s="1217">
        <f>שכר!AG163</f>
        <v>198262.58000000002</v>
      </c>
      <c r="Q163" s="1217">
        <v>29210</v>
      </c>
      <c r="R163" s="1217">
        <f>שכר!AM163</f>
        <v>263544.47879999998</v>
      </c>
      <c r="S163" s="1217">
        <f t="shared" ref="S163" si="48">R163*1.02</f>
        <v>268815.36837599997</v>
      </c>
      <c r="W163" s="1217">
        <v>0</v>
      </c>
      <c r="X163" s="961" t="s">
        <v>2042</v>
      </c>
      <c r="Y163" s="81" t="s">
        <v>2038</v>
      </c>
      <c r="Z163" s="1212"/>
      <c r="AA163" s="1213"/>
      <c r="AB163" s="1213"/>
      <c r="AC163" s="1212">
        <f t="shared" si="43"/>
        <v>0</v>
      </c>
      <c r="AD163" s="81" t="s">
        <v>758</v>
      </c>
      <c r="AG163" s="1213"/>
    </row>
    <row r="164" spans="1:33" s="1230" customFormat="1" ht="14.25" customHeight="1" x14ac:dyDescent="0.25">
      <c r="A164" s="1255" t="str">
        <f t="shared" si="36"/>
        <v>12</v>
      </c>
      <c r="B164" s="1255"/>
      <c r="C164" s="1231" t="s">
        <v>685</v>
      </c>
      <c r="D164" s="1232" t="s">
        <v>686</v>
      </c>
      <c r="E164" s="1259">
        <f t="shared" ref="E164:S164" si="49">SUM(E136:E163)</f>
        <v>7625486</v>
      </c>
      <c r="F164" s="1259">
        <f t="shared" si="49"/>
        <v>6473750</v>
      </c>
      <c r="G164" s="1259">
        <f t="shared" si="49"/>
        <v>1264692.945454546</v>
      </c>
      <c r="H164" s="1259">
        <f t="shared" si="49"/>
        <v>7609318.1454545455</v>
      </c>
      <c r="I164" s="1259">
        <f t="shared" si="49"/>
        <v>7853375</v>
      </c>
      <c r="J164" s="1259">
        <f t="shared" si="49"/>
        <v>4041265</v>
      </c>
      <c r="K164" s="1259">
        <f t="shared" si="49"/>
        <v>7965757</v>
      </c>
      <c r="L164" s="1259">
        <f t="shared" si="49"/>
        <v>0</v>
      </c>
      <c r="M164" s="1259">
        <f t="shared" si="49"/>
        <v>0</v>
      </c>
      <c r="N164" s="1259">
        <f t="shared" si="49"/>
        <v>0</v>
      </c>
      <c r="O164" s="1260">
        <f t="shared" si="49"/>
        <v>0</v>
      </c>
      <c r="P164" s="1259">
        <f t="shared" si="49"/>
        <v>6370258.6200000001</v>
      </c>
      <c r="Q164" s="1259">
        <f t="shared" si="49"/>
        <v>7968317</v>
      </c>
      <c r="R164" s="1259">
        <f t="shared" si="49"/>
        <v>8591495.0365999993</v>
      </c>
      <c r="S164" s="1259">
        <f t="shared" si="49"/>
        <v>8662843.9991079997</v>
      </c>
      <c r="T164" s="1261" t="e">
        <f t="shared" ref="T164:AC164" si="50">SUM(T136:T163)</f>
        <v>#REF!</v>
      </c>
      <c r="U164" s="1259" t="e">
        <f t="shared" si="50"/>
        <v>#REF!</v>
      </c>
      <c r="V164" s="1259" t="e">
        <f t="shared" si="50"/>
        <v>#REF!</v>
      </c>
      <c r="W164" s="1259" t="e">
        <f t="shared" si="50"/>
        <v>#REF!</v>
      </c>
      <c r="X164" s="1259" t="e">
        <f t="shared" si="50"/>
        <v>#REF!</v>
      </c>
      <c r="Y164" s="1259" t="e">
        <f t="shared" si="50"/>
        <v>#REF!</v>
      </c>
      <c r="Z164" s="1259" t="e">
        <f t="shared" si="50"/>
        <v>#REF!</v>
      </c>
      <c r="AA164" s="1259" t="e">
        <f t="shared" si="50"/>
        <v>#REF!</v>
      </c>
      <c r="AB164" s="1259" t="e">
        <f t="shared" si="50"/>
        <v>#REF!</v>
      </c>
      <c r="AC164" s="1259" t="e">
        <f t="shared" si="50"/>
        <v>#REF!</v>
      </c>
      <c r="AD164" s="81" t="str">
        <f t="shared" si="47"/>
        <v>סה"כ</v>
      </c>
      <c r="AG164" s="1213"/>
    </row>
    <row r="165" spans="1:33" s="1230" customFormat="1" ht="14.25" customHeight="1" x14ac:dyDescent="0.25">
      <c r="A165" s="1255" t="str">
        <f t="shared" si="36"/>
        <v/>
      </c>
      <c r="B165" s="1255"/>
      <c r="C165" s="1210"/>
      <c r="D165" s="1246"/>
      <c r="E165" s="667"/>
      <c r="F165" s="603"/>
      <c r="G165" s="667"/>
      <c r="H165" s="667"/>
      <c r="I165" s="667"/>
      <c r="J165" s="667"/>
      <c r="K165" s="667"/>
      <c r="L165" s="1235"/>
      <c r="M165" s="1235"/>
      <c r="N165" s="1235"/>
      <c r="O165" s="1235"/>
      <c r="P165" s="608"/>
      <c r="Q165" s="608"/>
      <c r="R165" s="608"/>
      <c r="S165" s="608"/>
      <c r="W165" s="667"/>
      <c r="X165" s="961"/>
      <c r="Y165" s="81"/>
      <c r="Z165" s="1212"/>
      <c r="AA165" s="81"/>
      <c r="AB165" s="1213"/>
      <c r="AC165" s="1212">
        <f t="shared" si="43"/>
        <v>0</v>
      </c>
      <c r="AD165" s="81" t="str">
        <f t="shared" si="47"/>
        <v/>
      </c>
      <c r="AG165" s="81"/>
    </row>
    <row r="166" spans="1:33" s="1230" customFormat="1" ht="14.25" customHeight="1" x14ac:dyDescent="0.25">
      <c r="A166" s="1255" t="str">
        <f t="shared" si="36"/>
        <v>11</v>
      </c>
      <c r="B166" s="1255"/>
      <c r="C166" s="1215">
        <v>813200.11</v>
      </c>
      <c r="D166" s="1216" t="s">
        <v>687</v>
      </c>
      <c r="E166" s="1217">
        <f>חינוך!I92</f>
        <v>259944</v>
      </c>
      <c r="F166" s="1217">
        <v>221517</v>
      </c>
      <c r="G166" s="1217">
        <f>F166/10*2</f>
        <v>44303.4</v>
      </c>
      <c r="H166" s="1217">
        <f t="shared" ref="H166:H181" si="51">F166+G166</f>
        <v>265820.40000000002</v>
      </c>
      <c r="I166" s="1217">
        <v>252000</v>
      </c>
      <c r="J166" s="1217">
        <v>200495</v>
      </c>
      <c r="K166" s="1217">
        <f>חינוך!K92</f>
        <v>357000</v>
      </c>
      <c r="P166" s="1217">
        <f>שכר!AG169</f>
        <v>287302.46999999997</v>
      </c>
      <c r="Q166" s="1217">
        <v>417294</v>
      </c>
      <c r="R166" s="1217">
        <f>שכר!AM169</f>
        <v>310624.93200000003</v>
      </c>
      <c r="S166" s="1217">
        <f t="shared" ref="S166" si="52">R166*1.02</f>
        <v>316837.43064000004</v>
      </c>
      <c r="T166" s="1217" t="e">
        <f>שכר!#REF!</f>
        <v>#REF!</v>
      </c>
      <c r="U166" s="1217" t="e">
        <f>שכר!#REF!</f>
        <v>#REF!</v>
      </c>
      <c r="V166" s="1217" t="e">
        <f>שכר!#REF!</f>
        <v>#REF!</v>
      </c>
      <c r="W166" s="1217" t="e">
        <f>שכר!#REF!</f>
        <v>#REF!</v>
      </c>
      <c r="X166" s="1217" t="e">
        <f>שכר!#REF!</f>
        <v>#REF!</v>
      </c>
      <c r="Y166" s="1217" t="e">
        <f>שכר!#REF!</f>
        <v>#REF!</v>
      </c>
      <c r="Z166" s="1217" t="e">
        <f>שכר!#REF!</f>
        <v>#REF!</v>
      </c>
      <c r="AA166" s="1217" t="e">
        <f>שכר!#REF!</f>
        <v>#REF!</v>
      </c>
      <c r="AB166" s="1217" t="e">
        <f>שכר!#REF!</f>
        <v>#REF!</v>
      </c>
      <c r="AC166" s="1217" t="e">
        <f>שכר!#REF!</f>
        <v>#REF!</v>
      </c>
      <c r="AD166" s="81" t="str">
        <f t="shared" si="47"/>
        <v>8132</v>
      </c>
      <c r="AG166" s="81"/>
    </row>
    <row r="167" spans="1:33" s="1230" customFormat="1" ht="15.6" customHeight="1" x14ac:dyDescent="0.25">
      <c r="A167" s="1255" t="str">
        <f t="shared" si="36"/>
        <v>43</v>
      </c>
      <c r="B167" s="1255"/>
      <c r="C167" s="1210">
        <v>813200.43</v>
      </c>
      <c r="D167" s="1237" t="s">
        <v>688</v>
      </c>
      <c r="E167" s="610">
        <v>5000</v>
      </c>
      <c r="F167" s="610">
        <v>2246</v>
      </c>
      <c r="G167" s="667">
        <f t="shared" ref="G167:G172" si="53">F167/11</f>
        <v>204.18181818181819</v>
      </c>
      <c r="H167" s="667">
        <f t="shared" si="51"/>
        <v>2450.181818181818</v>
      </c>
      <c r="I167" s="610">
        <v>5000</v>
      </c>
      <c r="J167" s="610">
        <v>17258</v>
      </c>
      <c r="K167" s="610">
        <v>17258</v>
      </c>
      <c r="P167" s="608">
        <v>66675</v>
      </c>
      <c r="Q167" s="608">
        <v>50775</v>
      </c>
      <c r="R167" s="608">
        <v>0</v>
      </c>
      <c r="S167" s="608">
        <f t="shared" ref="S167:S172" si="54">R167</f>
        <v>0</v>
      </c>
      <c r="W167" s="610">
        <v>5000</v>
      </c>
      <c r="X167" s="961"/>
      <c r="Y167" s="81">
        <v>17258</v>
      </c>
      <c r="Z167" s="81"/>
      <c r="AA167" s="81"/>
      <c r="AB167" s="81"/>
      <c r="AC167" s="1212">
        <f t="shared" si="43"/>
        <v>12258</v>
      </c>
      <c r="AD167" s="81"/>
      <c r="AG167" s="81"/>
    </row>
    <row r="168" spans="1:33" s="1230" customFormat="1" ht="15.6" customHeight="1" x14ac:dyDescent="0.25">
      <c r="A168" s="1255" t="str">
        <f t="shared" si="36"/>
        <v>47</v>
      </c>
      <c r="B168" s="1255"/>
      <c r="C168" s="1210">
        <v>813200.47</v>
      </c>
      <c r="D168" s="689" t="s">
        <v>689</v>
      </c>
      <c r="E168" s="667">
        <v>21647</v>
      </c>
      <c r="F168" s="610">
        <v>11776</v>
      </c>
      <c r="G168" s="667">
        <f t="shared" si="53"/>
        <v>1070.5454545454545</v>
      </c>
      <c r="H168" s="667">
        <f t="shared" si="51"/>
        <v>12846.545454545454</v>
      </c>
      <c r="I168" s="667">
        <v>19000</v>
      </c>
      <c r="J168" s="667">
        <v>4036</v>
      </c>
      <c r="K168" s="610">
        <v>19000</v>
      </c>
      <c r="P168" s="608">
        <v>12581</v>
      </c>
      <c r="Q168" s="608">
        <f>P168/9*12</f>
        <v>16774.666666666668</v>
      </c>
      <c r="R168" s="608">
        <v>17000</v>
      </c>
      <c r="S168" s="608">
        <f t="shared" si="54"/>
        <v>17000</v>
      </c>
      <c r="W168" s="667">
        <v>19000</v>
      </c>
      <c r="X168" s="961"/>
      <c r="Y168" s="81">
        <v>19000</v>
      </c>
      <c r="Z168" s="1212"/>
      <c r="AA168" s="1213"/>
      <c r="AB168" s="1213"/>
      <c r="AC168" s="1212">
        <f t="shared" si="43"/>
        <v>0</v>
      </c>
      <c r="AD168" s="81"/>
      <c r="AG168" s="1213"/>
    </row>
    <row r="169" spans="1:33" s="1230" customFormat="1" ht="15.6" customHeight="1" x14ac:dyDescent="0.25">
      <c r="A169" s="1255" t="str">
        <f t="shared" si="36"/>
        <v>54</v>
      </c>
      <c r="B169" s="1255"/>
      <c r="C169" s="1210">
        <v>813200.54</v>
      </c>
      <c r="D169" s="689" t="s">
        <v>690</v>
      </c>
      <c r="E169" s="610">
        <v>20000</v>
      </c>
      <c r="F169" s="610">
        <v>7581</v>
      </c>
      <c r="G169" s="667">
        <f t="shared" si="53"/>
        <v>689.18181818181813</v>
      </c>
      <c r="H169" s="667">
        <f t="shared" si="51"/>
        <v>8270.181818181818</v>
      </c>
      <c r="I169" s="610">
        <v>0</v>
      </c>
      <c r="J169" s="610">
        <v>836</v>
      </c>
      <c r="K169" s="610">
        <v>0</v>
      </c>
      <c r="P169" s="608">
        <v>1336</v>
      </c>
      <c r="Q169" s="608">
        <v>2074</v>
      </c>
      <c r="R169" s="608">
        <v>0</v>
      </c>
      <c r="S169" s="608">
        <f t="shared" si="54"/>
        <v>0</v>
      </c>
      <c r="W169" s="610">
        <v>0</v>
      </c>
      <c r="X169" s="961"/>
      <c r="Y169" s="81">
        <v>0</v>
      </c>
      <c r="Z169" s="81"/>
      <c r="AA169" s="81"/>
      <c r="AB169" s="81"/>
      <c r="AC169" s="1212">
        <f t="shared" si="43"/>
        <v>0</v>
      </c>
      <c r="AD169" s="81"/>
      <c r="AG169" s="81"/>
    </row>
    <row r="170" spans="1:33" s="1230" customFormat="1" ht="15.6" customHeight="1" x14ac:dyDescent="0.25">
      <c r="A170" s="1255" t="str">
        <f t="shared" si="36"/>
        <v>75</v>
      </c>
      <c r="B170" s="1255"/>
      <c r="C170" s="1210">
        <v>813200.75</v>
      </c>
      <c r="D170" s="689" t="s">
        <v>691</v>
      </c>
      <c r="E170" s="667">
        <v>75000</v>
      </c>
      <c r="F170" s="610">
        <f>95766+1200</f>
        <v>96966</v>
      </c>
      <c r="G170" s="667">
        <f t="shared" si="53"/>
        <v>8815.0909090909099</v>
      </c>
      <c r="H170" s="667">
        <f t="shared" si="51"/>
        <v>105781.09090909091</v>
      </c>
      <c r="I170" s="610">
        <v>100000</v>
      </c>
      <c r="J170" s="610">
        <v>0</v>
      </c>
      <c r="K170" s="610">
        <v>100000</v>
      </c>
      <c r="P170" s="608">
        <v>97657</v>
      </c>
      <c r="Q170" s="608">
        <v>97657</v>
      </c>
      <c r="R170" s="608">
        <v>100000</v>
      </c>
      <c r="S170" s="608">
        <f t="shared" si="54"/>
        <v>100000</v>
      </c>
      <c r="W170" s="610">
        <v>100000</v>
      </c>
      <c r="X170" s="961"/>
      <c r="Y170" s="81">
        <v>100000</v>
      </c>
      <c r="Z170" s="1212"/>
      <c r="AA170" s="1213"/>
      <c r="AB170" s="1213"/>
      <c r="AC170" s="1212">
        <f t="shared" si="43"/>
        <v>0</v>
      </c>
      <c r="AD170" s="81"/>
      <c r="AG170" s="1213"/>
    </row>
    <row r="171" spans="1:33" s="1230" customFormat="1" ht="15.6" customHeight="1" x14ac:dyDescent="0.25">
      <c r="A171" s="1255" t="str">
        <f t="shared" si="36"/>
        <v>78</v>
      </c>
      <c r="B171" s="1255"/>
      <c r="C171" s="1210">
        <v>813200.78</v>
      </c>
      <c r="D171" s="689" t="s">
        <v>692</v>
      </c>
      <c r="E171" s="667">
        <v>50500</v>
      </c>
      <c r="F171" s="610">
        <v>30936</v>
      </c>
      <c r="G171" s="667">
        <f t="shared" si="53"/>
        <v>2812.3636363636365</v>
      </c>
      <c r="H171" s="667">
        <f t="shared" si="51"/>
        <v>33748.36363636364</v>
      </c>
      <c r="I171" s="667">
        <v>50500</v>
      </c>
      <c r="J171" s="667">
        <v>37034</v>
      </c>
      <c r="K171" s="610">
        <f>J171*2</f>
        <v>74068</v>
      </c>
      <c r="P171" s="608">
        <v>16398</v>
      </c>
      <c r="Q171" s="608">
        <v>45109</v>
      </c>
      <c r="R171" s="608">
        <v>45000</v>
      </c>
      <c r="S171" s="608">
        <f t="shared" si="54"/>
        <v>45000</v>
      </c>
      <c r="W171" s="667">
        <v>50500</v>
      </c>
      <c r="X171" s="961"/>
      <c r="Y171" s="81"/>
      <c r="Z171" s="1212"/>
      <c r="AA171" s="1213"/>
      <c r="AB171" s="1213"/>
      <c r="AC171" s="1212">
        <f t="shared" si="43"/>
        <v>23568</v>
      </c>
      <c r="AD171" s="81"/>
      <c r="AG171" s="1213"/>
    </row>
    <row r="172" spans="1:33" s="1230" customFormat="1" ht="15.6" customHeight="1" x14ac:dyDescent="0.25">
      <c r="A172" s="1255" t="str">
        <f t="shared" si="36"/>
        <v>91</v>
      </c>
      <c r="B172" s="1255"/>
      <c r="C172" s="1210">
        <v>813200.91</v>
      </c>
      <c r="D172" s="689" t="s">
        <v>693</v>
      </c>
      <c r="E172" s="610">
        <v>55000</v>
      </c>
      <c r="F172" s="610">
        <v>61807</v>
      </c>
      <c r="G172" s="667">
        <f t="shared" si="53"/>
        <v>5618.818181818182</v>
      </c>
      <c r="H172" s="667">
        <f t="shared" si="51"/>
        <v>67425.818181818177</v>
      </c>
      <c r="I172" s="610">
        <v>0</v>
      </c>
      <c r="J172" s="610">
        <v>0</v>
      </c>
      <c r="K172" s="610">
        <f>J172*2</f>
        <v>0</v>
      </c>
      <c r="P172" s="608">
        <v>0</v>
      </c>
      <c r="Q172" s="608">
        <f>P172/9*12</f>
        <v>0</v>
      </c>
      <c r="R172" s="608">
        <v>0</v>
      </c>
      <c r="S172" s="608">
        <f t="shared" si="54"/>
        <v>0</v>
      </c>
      <c r="W172" s="610">
        <v>0</v>
      </c>
      <c r="X172" s="961"/>
      <c r="Y172" s="81"/>
      <c r="Z172" s="81"/>
      <c r="AA172" s="81"/>
      <c r="AB172" s="81"/>
      <c r="AC172" s="1212">
        <f t="shared" si="43"/>
        <v>0</v>
      </c>
      <c r="AD172" s="81"/>
      <c r="AG172" s="81"/>
    </row>
    <row r="173" spans="1:33" s="1230" customFormat="1" ht="15.6" customHeight="1" x14ac:dyDescent="0.25">
      <c r="A173" s="1255" t="str">
        <f t="shared" si="36"/>
        <v>11</v>
      </c>
      <c r="B173" s="1255"/>
      <c r="C173" s="1215">
        <v>813201.11</v>
      </c>
      <c r="D173" s="1216" t="s">
        <v>694</v>
      </c>
      <c r="E173" s="1217">
        <f>חינוך!I100</f>
        <v>553887</v>
      </c>
      <c r="F173" s="1217">
        <v>467786</v>
      </c>
      <c r="G173" s="1217">
        <f>F173/10*2</f>
        <v>93557.2</v>
      </c>
      <c r="H173" s="1217">
        <f t="shared" si="51"/>
        <v>561343.19999999995</v>
      </c>
      <c r="I173" s="1217">
        <v>542000</v>
      </c>
      <c r="J173" s="1217">
        <v>307596</v>
      </c>
      <c r="K173" s="1217">
        <f>חינוך!K100</f>
        <v>556000</v>
      </c>
      <c r="L173" s="1235"/>
      <c r="M173" s="1235"/>
      <c r="N173" s="1235"/>
      <c r="O173" s="1235"/>
      <c r="P173" s="1217">
        <f>שכר!AG177</f>
        <v>471944.52</v>
      </c>
      <c r="Q173" s="1217">
        <v>605659</v>
      </c>
      <c r="R173" s="1217">
        <f>שכר!AM177</f>
        <v>596332.04520000005</v>
      </c>
      <c r="S173" s="1217">
        <f t="shared" ref="S173:S175" si="55">R173*1.02</f>
        <v>608258.68610400008</v>
      </c>
      <c r="T173" s="1217" t="e">
        <f>שכר!#REF!</f>
        <v>#REF!</v>
      </c>
      <c r="U173" s="1217" t="e">
        <f>שכר!#REF!</f>
        <v>#REF!</v>
      </c>
      <c r="V173" s="1217" t="e">
        <f>שכר!#REF!</f>
        <v>#REF!</v>
      </c>
      <c r="W173" s="1217" t="e">
        <f>שכר!#REF!</f>
        <v>#REF!</v>
      </c>
      <c r="X173" s="1217" t="e">
        <f>שכר!#REF!</f>
        <v>#REF!</v>
      </c>
      <c r="Y173" s="1217" t="e">
        <f>שכר!#REF!</f>
        <v>#REF!</v>
      </c>
      <c r="Z173" s="1217" t="e">
        <f>שכר!#REF!</f>
        <v>#REF!</v>
      </c>
      <c r="AA173" s="1217" t="e">
        <f>שכר!#REF!</f>
        <v>#REF!</v>
      </c>
      <c r="AB173" s="1217" t="e">
        <f>שכר!#REF!</f>
        <v>#REF!</v>
      </c>
      <c r="AC173" s="1217" t="e">
        <f>שכר!#REF!</f>
        <v>#REF!</v>
      </c>
      <c r="AD173" s="81" t="str">
        <f t="shared" si="47"/>
        <v>8132</v>
      </c>
      <c r="AG173" s="81"/>
    </row>
    <row r="174" spans="1:33" s="1230" customFormat="1" ht="15.6" customHeight="1" x14ac:dyDescent="0.25">
      <c r="A174" s="1255" t="str">
        <f t="shared" si="36"/>
        <v>11</v>
      </c>
      <c r="B174" s="1255"/>
      <c r="C174" s="1215">
        <v>813202.11</v>
      </c>
      <c r="D174" s="1216" t="s">
        <v>695</v>
      </c>
      <c r="E174" s="1217">
        <f>חינוך!I120</f>
        <v>915011</v>
      </c>
      <c r="F174" s="1217">
        <v>786384</v>
      </c>
      <c r="G174" s="1217">
        <f>F174/10*2</f>
        <v>157276.79999999999</v>
      </c>
      <c r="H174" s="1217">
        <f t="shared" si="51"/>
        <v>943660.8</v>
      </c>
      <c r="I174" s="1217">
        <v>892000</v>
      </c>
      <c r="J174" s="1217">
        <v>459707</v>
      </c>
      <c r="K174" s="1217">
        <f>חינוך!K120</f>
        <v>915011</v>
      </c>
      <c r="P174" s="1217">
        <f>שכר!AG193</f>
        <v>684706.46000000008</v>
      </c>
      <c r="Q174" s="1217">
        <v>883152</v>
      </c>
      <c r="R174" s="1217">
        <f>שכר!AM193</f>
        <v>907775.13240000012</v>
      </c>
      <c r="S174" s="1217">
        <f t="shared" si="55"/>
        <v>925930.63504800014</v>
      </c>
      <c r="W174" s="1217">
        <f>חינוך!AH119</f>
        <v>0</v>
      </c>
      <c r="X174" s="961"/>
      <c r="Y174" s="81"/>
      <c r="Z174" s="81"/>
      <c r="AA174" s="81"/>
      <c r="AB174" s="81"/>
      <c r="AC174" s="1212">
        <f t="shared" si="43"/>
        <v>23011</v>
      </c>
      <c r="AD174" s="81" t="str">
        <f t="shared" si="47"/>
        <v>8132</v>
      </c>
      <c r="AG174" s="81"/>
    </row>
    <row r="175" spans="1:33" s="1230" customFormat="1" ht="15.6" customHeight="1" x14ac:dyDescent="0.25">
      <c r="A175" s="1255" t="str">
        <f t="shared" si="36"/>
        <v>11</v>
      </c>
      <c r="B175" s="1255"/>
      <c r="C175" s="1215">
        <v>813204.11</v>
      </c>
      <c r="D175" s="1216" t="s">
        <v>696</v>
      </c>
      <c r="E175" s="1217">
        <f>חינוך!I121</f>
        <v>77744</v>
      </c>
      <c r="F175" s="1217">
        <v>65246</v>
      </c>
      <c r="G175" s="1217">
        <f>F175/10*2</f>
        <v>13049.2</v>
      </c>
      <c r="H175" s="1217">
        <f t="shared" si="51"/>
        <v>78295.199999999997</v>
      </c>
      <c r="I175" s="1217">
        <v>80000</v>
      </c>
      <c r="J175" s="1217">
        <v>43578</v>
      </c>
      <c r="K175" s="1217">
        <f>חינוך!K122</f>
        <v>78000</v>
      </c>
      <c r="P175" s="1217">
        <f>שכר!AG195</f>
        <v>64502</v>
      </c>
      <c r="Q175" s="1217">
        <v>87398</v>
      </c>
      <c r="R175" s="1217">
        <f>שכר!AM195</f>
        <v>86038.499400000001</v>
      </c>
      <c r="S175" s="1217">
        <f t="shared" si="55"/>
        <v>87759.269388000001</v>
      </c>
      <c r="W175" s="1217">
        <f>חינוך!AH121</f>
        <v>0</v>
      </c>
      <c r="X175" s="961"/>
      <c r="Y175" s="81"/>
      <c r="Z175" s="1212"/>
      <c r="AA175" s="1213"/>
      <c r="AB175" s="1213"/>
      <c r="AC175" s="1212">
        <f t="shared" si="43"/>
        <v>-2000</v>
      </c>
      <c r="AD175" s="81" t="str">
        <f t="shared" si="47"/>
        <v>8132</v>
      </c>
      <c r="AG175" s="1213"/>
    </row>
    <row r="176" spans="1:33" s="1230" customFormat="1" ht="15.6" customHeight="1" x14ac:dyDescent="0.25">
      <c r="A176" s="1255" t="str">
        <f t="shared" si="36"/>
        <v>81</v>
      </c>
      <c r="B176" s="1255"/>
      <c r="C176" s="1210">
        <v>813200.78099999996</v>
      </c>
      <c r="D176" s="689" t="s">
        <v>697</v>
      </c>
      <c r="E176" s="667">
        <f>20183*12</f>
        <v>242196</v>
      </c>
      <c r="F176" s="610">
        <f>201832+5196</f>
        <v>207028</v>
      </c>
      <c r="G176" s="667">
        <f>F176/11+19000</f>
        <v>37820.727272727272</v>
      </c>
      <c r="H176" s="667">
        <f t="shared" si="51"/>
        <v>244848.72727272726</v>
      </c>
      <c r="I176" s="667">
        <f>20185*12</f>
        <v>242220</v>
      </c>
      <c r="J176" s="667">
        <v>119224</v>
      </c>
      <c r="K176" s="667">
        <v>242220</v>
      </c>
      <c r="P176" s="608">
        <f>158632+20183</f>
        <v>178815</v>
      </c>
      <c r="Q176" s="608">
        <f>241301+2378</f>
        <v>243679</v>
      </c>
      <c r="R176" s="608">
        <f>(18519.6+1955)*12</f>
        <v>245695.19999999998</v>
      </c>
      <c r="S176" s="608">
        <f>R176</f>
        <v>245695.19999999998</v>
      </c>
      <c r="W176" s="667">
        <v>242220</v>
      </c>
      <c r="X176" s="961"/>
      <c r="Y176" s="81">
        <v>242220</v>
      </c>
      <c r="Z176" s="1212"/>
      <c r="AA176" s="1213"/>
      <c r="AB176" s="1213"/>
      <c r="AC176" s="1212">
        <f t="shared" si="43"/>
        <v>0</v>
      </c>
      <c r="AD176" s="81"/>
      <c r="AG176" s="1213"/>
    </row>
    <row r="177" spans="1:33" s="1230" customFormat="1" ht="15.6" customHeight="1" x14ac:dyDescent="0.25">
      <c r="A177" s="1255" t="str">
        <f t="shared" si="36"/>
        <v>82</v>
      </c>
      <c r="B177" s="1255"/>
      <c r="C177" s="1210">
        <v>813200.78200000001</v>
      </c>
      <c r="D177" s="689" t="s">
        <v>698</v>
      </c>
      <c r="E177" s="667">
        <f>20404*12</f>
        <v>244848</v>
      </c>
      <c r="F177" s="610">
        <v>208193</v>
      </c>
      <c r="G177" s="667">
        <f>F177/11+17000</f>
        <v>35926.636363636368</v>
      </c>
      <c r="H177" s="667">
        <f t="shared" si="51"/>
        <v>244119.63636363635</v>
      </c>
      <c r="I177" s="667">
        <f>20405*12</f>
        <v>244860</v>
      </c>
      <c r="J177" s="667">
        <v>88696</v>
      </c>
      <c r="K177" s="667">
        <v>244860</v>
      </c>
      <c r="P177" s="608">
        <f>141312+20404</f>
        <v>161716</v>
      </c>
      <c r="Q177" s="608">
        <v>206395</v>
      </c>
      <c r="R177" s="608">
        <f>(14946.5+1578)*12</f>
        <v>198294</v>
      </c>
      <c r="S177" s="608">
        <f>R177</f>
        <v>198294</v>
      </c>
      <c r="W177" s="667">
        <v>244860</v>
      </c>
      <c r="X177" s="961"/>
      <c r="Y177" s="81">
        <v>244860</v>
      </c>
      <c r="Z177" s="81"/>
      <c r="AA177" s="81"/>
      <c r="AB177" s="81"/>
      <c r="AC177" s="1212">
        <f t="shared" si="43"/>
        <v>0</v>
      </c>
      <c r="AD177" s="81"/>
      <c r="AG177" s="81"/>
    </row>
    <row r="178" spans="1:33" s="1230" customFormat="1" ht="15.6" customHeight="1" x14ac:dyDescent="0.25">
      <c r="A178" s="1255" t="str">
        <f t="shared" si="36"/>
        <v>83</v>
      </c>
      <c r="B178" s="1255"/>
      <c r="C178" s="1210">
        <v>813200.78300000005</v>
      </c>
      <c r="D178" s="689" t="s">
        <v>699</v>
      </c>
      <c r="E178" s="610">
        <v>160003.44</v>
      </c>
      <c r="F178" s="610">
        <v>133336</v>
      </c>
      <c r="G178" s="667">
        <f>F178/11+13000</f>
        <v>25121.454545454544</v>
      </c>
      <c r="H178" s="667">
        <f t="shared" si="51"/>
        <v>158457.45454545453</v>
      </c>
      <c r="I178" s="610">
        <f>13333.5*12+1</f>
        <v>160003</v>
      </c>
      <c r="J178" s="610">
        <v>79024</v>
      </c>
      <c r="K178" s="667">
        <v>160003</v>
      </c>
      <c r="P178" s="608">
        <f>105031+13334</f>
        <v>118365</v>
      </c>
      <c r="Q178" s="608">
        <v>166303</v>
      </c>
      <c r="R178" s="608">
        <f>(13436.75+1415)*12</f>
        <v>178221</v>
      </c>
      <c r="S178" s="608">
        <f>R178</f>
        <v>178221</v>
      </c>
      <c r="W178" s="610">
        <v>160003</v>
      </c>
      <c r="X178" s="961"/>
      <c r="Y178" s="81">
        <v>160003</v>
      </c>
      <c r="Z178" s="1212"/>
      <c r="AA178" s="1213"/>
      <c r="AB178" s="1213"/>
      <c r="AC178" s="1212">
        <f t="shared" si="43"/>
        <v>0</v>
      </c>
      <c r="AD178" s="81"/>
      <c r="AG178" s="1213"/>
    </row>
    <row r="179" spans="1:33" s="1230" customFormat="1" ht="15.6" customHeight="1" x14ac:dyDescent="0.25">
      <c r="A179" s="1255" t="str">
        <f t="shared" si="36"/>
        <v>84</v>
      </c>
      <c r="B179" s="1255"/>
      <c r="C179" s="1210">
        <v>813200.78399999999</v>
      </c>
      <c r="D179" s="689" t="s">
        <v>700</v>
      </c>
      <c r="E179" s="667">
        <f>20292*12</f>
        <v>243504</v>
      </c>
      <c r="F179" s="610">
        <v>202920</v>
      </c>
      <c r="G179" s="667">
        <f>F179/11+20000</f>
        <v>38447.272727272728</v>
      </c>
      <c r="H179" s="667">
        <f t="shared" si="51"/>
        <v>241367.27272727274</v>
      </c>
      <c r="I179" s="667">
        <f>20292*12</f>
        <v>243504</v>
      </c>
      <c r="J179" s="667">
        <v>125248</v>
      </c>
      <c r="K179" s="667">
        <v>243504</v>
      </c>
      <c r="P179" s="608">
        <v>166665</v>
      </c>
      <c r="Q179" s="608">
        <v>254728</v>
      </c>
      <c r="R179" s="608">
        <f>(19677+2077)*12</f>
        <v>261048</v>
      </c>
      <c r="S179" s="608">
        <f>R179</f>
        <v>261048</v>
      </c>
      <c r="W179" s="667">
        <v>243504</v>
      </c>
      <c r="X179" s="961"/>
      <c r="Y179" s="81">
        <v>243504</v>
      </c>
      <c r="Z179" s="1212"/>
      <c r="AA179" s="1213"/>
      <c r="AB179" s="1213"/>
      <c r="AC179" s="1212">
        <f t="shared" si="43"/>
        <v>0</v>
      </c>
      <c r="AD179" s="81"/>
      <c r="AG179" s="1213"/>
    </row>
    <row r="180" spans="1:33" s="1230" customFormat="1" ht="15.6" customHeight="1" x14ac:dyDescent="0.25">
      <c r="A180" s="1255" t="str">
        <f t="shared" si="36"/>
        <v>85</v>
      </c>
      <c r="B180" s="1255"/>
      <c r="C180" s="1210">
        <v>813200.78500000003</v>
      </c>
      <c r="D180" s="689" t="s">
        <v>701</v>
      </c>
      <c r="E180" s="667">
        <v>280000</v>
      </c>
      <c r="F180" s="610">
        <v>253485</v>
      </c>
      <c r="G180" s="667">
        <f>F180/11</f>
        <v>23044.090909090908</v>
      </c>
      <c r="H180" s="667">
        <f t="shared" si="51"/>
        <v>276529.09090909088</v>
      </c>
      <c r="I180" s="667">
        <v>280000</v>
      </c>
      <c r="J180" s="667">
        <v>220137</v>
      </c>
      <c r="K180" s="667">
        <f>J180*2</f>
        <v>440274</v>
      </c>
      <c r="P180" s="608">
        <v>258165</v>
      </c>
      <c r="Q180" s="608">
        <v>258165</v>
      </c>
      <c r="R180" s="608">
        <v>259000</v>
      </c>
      <c r="S180" s="608">
        <f>R180</f>
        <v>259000</v>
      </c>
      <c r="W180" s="667">
        <v>280000</v>
      </c>
      <c r="X180" s="961"/>
      <c r="Y180" s="81"/>
      <c r="Z180" s="1212"/>
      <c r="AA180" s="1213"/>
      <c r="AB180" s="1213"/>
      <c r="AC180" s="1212">
        <f t="shared" si="43"/>
        <v>160274</v>
      </c>
      <c r="AD180" s="81"/>
      <c r="AG180" s="1213"/>
    </row>
    <row r="181" spans="1:33" s="1230" customFormat="1" ht="15.6" customHeight="1" x14ac:dyDescent="0.25">
      <c r="A181" s="1255" t="str">
        <f t="shared" si="36"/>
        <v>11</v>
      </c>
      <c r="B181" s="1255"/>
      <c r="C181" s="1215">
        <v>813300.11</v>
      </c>
      <c r="D181" s="1216" t="s">
        <v>3164</v>
      </c>
      <c r="E181" s="1217">
        <f>חינוך!I135</f>
        <v>32265</v>
      </c>
      <c r="F181" s="1217">
        <v>488547</v>
      </c>
      <c r="G181" s="1217">
        <f>F181/10*2</f>
        <v>97709.4</v>
      </c>
      <c r="H181" s="1217">
        <f t="shared" si="51"/>
        <v>586256.4</v>
      </c>
      <c r="I181" s="1217">
        <v>724000</v>
      </c>
      <c r="J181" s="1217">
        <v>348992</v>
      </c>
      <c r="K181" s="1217">
        <f>חינוך!K137</f>
        <v>597000</v>
      </c>
      <c r="P181" s="1217">
        <f>שכר!AG203</f>
        <v>371225.93000000005</v>
      </c>
      <c r="Q181" s="1217">
        <v>597372</v>
      </c>
      <c r="R181" s="1217">
        <f>שכר!AM203</f>
        <v>486210.30540000001</v>
      </c>
      <c r="S181" s="1217">
        <f t="shared" ref="S181:S185" si="56">R181*1.02</f>
        <v>495934.51150800003</v>
      </c>
      <c r="T181" s="1217" t="e">
        <f>שכר!#REF!</f>
        <v>#REF!</v>
      </c>
      <c r="U181" s="1217" t="e">
        <f>שכר!#REF!</f>
        <v>#REF!</v>
      </c>
      <c r="V181" s="1217" t="e">
        <f>שכר!#REF!</f>
        <v>#REF!</v>
      </c>
      <c r="W181" s="1217" t="e">
        <f>שכר!#REF!</f>
        <v>#REF!</v>
      </c>
      <c r="X181" s="1217" t="e">
        <f>שכר!#REF!</f>
        <v>#REF!</v>
      </c>
      <c r="Y181" s="1217" t="e">
        <f>שכר!#REF!</f>
        <v>#REF!</v>
      </c>
      <c r="Z181" s="1217" t="e">
        <f>שכר!#REF!</f>
        <v>#REF!</v>
      </c>
      <c r="AA181" s="1217" t="e">
        <f>שכר!#REF!</f>
        <v>#REF!</v>
      </c>
      <c r="AB181" s="1217" t="e">
        <f>שכר!#REF!</f>
        <v>#REF!</v>
      </c>
      <c r="AC181" s="1217" t="e">
        <f>שכר!#REF!</f>
        <v>#REF!</v>
      </c>
      <c r="AD181" s="81" t="str">
        <f t="shared" si="47"/>
        <v>8133</v>
      </c>
      <c r="AG181" s="81"/>
    </row>
    <row r="182" spans="1:33" s="1230" customFormat="1" ht="15.6" customHeight="1" x14ac:dyDescent="0.25">
      <c r="A182" s="1255" t="str">
        <f t="shared" si="36"/>
        <v>11</v>
      </c>
      <c r="B182" s="1255"/>
      <c r="C182" s="1215">
        <v>813301.11</v>
      </c>
      <c r="D182" s="1216" t="s">
        <v>3165</v>
      </c>
      <c r="E182" s="1217"/>
      <c r="F182" s="1217"/>
      <c r="G182" s="1217"/>
      <c r="H182" s="1217"/>
      <c r="I182" s="1217"/>
      <c r="J182" s="1217"/>
      <c r="K182" s="1217"/>
      <c r="P182" s="1217">
        <f>שכר!AG208</f>
        <v>119408.92</v>
      </c>
      <c r="Q182" s="1217">
        <v>68065</v>
      </c>
      <c r="R182" s="1217">
        <f>שכר!AM208</f>
        <v>189317.82560000001</v>
      </c>
      <c r="S182" s="1217">
        <f t="shared" si="56"/>
        <v>193104.18211200001</v>
      </c>
      <c r="T182" s="1217"/>
      <c r="U182" s="1217"/>
      <c r="V182" s="1217"/>
      <c r="W182" s="1217"/>
      <c r="X182" s="1217"/>
      <c r="Y182" s="1217"/>
      <c r="Z182" s="1217"/>
      <c r="AA182" s="1217"/>
      <c r="AB182" s="1217"/>
      <c r="AC182" s="1217"/>
      <c r="AD182" s="81"/>
      <c r="AG182" s="81"/>
    </row>
    <row r="183" spans="1:33" s="1230" customFormat="1" ht="15.6" customHeight="1" x14ac:dyDescent="0.25">
      <c r="A183" s="1255" t="str">
        <f t="shared" si="36"/>
        <v>11</v>
      </c>
      <c r="B183" s="1255"/>
      <c r="C183" s="1215">
        <v>813310.11</v>
      </c>
      <c r="D183" s="1216" t="s">
        <v>703</v>
      </c>
      <c r="E183" s="1217">
        <f>חינוך!I145</f>
        <v>11138</v>
      </c>
      <c r="F183" s="1217">
        <v>217835</v>
      </c>
      <c r="G183" s="1217">
        <f>F183/10*2</f>
        <v>43567</v>
      </c>
      <c r="H183" s="1217">
        <f>F183+G183</f>
        <v>261402</v>
      </c>
      <c r="I183" s="1217">
        <v>468200</v>
      </c>
      <c r="J183" s="1217">
        <v>288118</v>
      </c>
      <c r="K183" s="1217">
        <f>חינוך!K148</f>
        <v>314780</v>
      </c>
      <c r="P183" s="1217">
        <f>שכר!AG222</f>
        <v>348950.11999999994</v>
      </c>
      <c r="Q183" s="1217">
        <v>530747</v>
      </c>
      <c r="R183" s="1217">
        <f>שכר!AM222</f>
        <v>625514.30339999986</v>
      </c>
      <c r="S183" s="1217">
        <f t="shared" si="56"/>
        <v>638024.58946799987</v>
      </c>
      <c r="T183" s="1217" t="e">
        <f>שכר!#REF!</f>
        <v>#REF!</v>
      </c>
      <c r="U183" s="1217" t="e">
        <f>שכר!#REF!</f>
        <v>#REF!</v>
      </c>
      <c r="V183" s="1217" t="e">
        <f>שכר!#REF!</f>
        <v>#REF!</v>
      </c>
      <c r="W183" s="1217" t="e">
        <f>שכר!#REF!</f>
        <v>#REF!</v>
      </c>
      <c r="X183" s="1217" t="e">
        <f>שכר!#REF!</f>
        <v>#REF!</v>
      </c>
      <c r="Y183" s="1217" t="e">
        <f>שכר!#REF!</f>
        <v>#REF!</v>
      </c>
      <c r="Z183" s="1217" t="e">
        <f>שכר!#REF!</f>
        <v>#REF!</v>
      </c>
      <c r="AA183" s="1217" t="e">
        <f>שכר!#REF!</f>
        <v>#REF!</v>
      </c>
      <c r="AB183" s="1217" t="e">
        <f>שכר!#REF!</f>
        <v>#REF!</v>
      </c>
      <c r="AC183" s="1217" t="e">
        <f>שכר!#REF!</f>
        <v>#REF!</v>
      </c>
      <c r="AD183" s="81" t="str">
        <f t="shared" si="47"/>
        <v>8133</v>
      </c>
      <c r="AG183" s="1213"/>
    </row>
    <row r="184" spans="1:33" s="1230" customFormat="1" ht="15.6" customHeight="1" x14ac:dyDescent="0.25">
      <c r="A184" s="1255" t="str">
        <f t="shared" si="36"/>
        <v>11</v>
      </c>
      <c r="B184" s="1255"/>
      <c r="C184" s="1215">
        <v>813320.11</v>
      </c>
      <c r="D184" s="1216" t="s">
        <v>704</v>
      </c>
      <c r="E184" s="1217">
        <f>חינוך!I164</f>
        <v>16566</v>
      </c>
      <c r="F184" s="1217">
        <v>500368</v>
      </c>
      <c r="G184" s="1217">
        <f>F184/10*2</f>
        <v>100073.60000000001</v>
      </c>
      <c r="H184" s="1217">
        <f>F184+G184</f>
        <v>600441.59999999998</v>
      </c>
      <c r="I184" s="1217">
        <v>676000</v>
      </c>
      <c r="J184" s="1217">
        <v>399587</v>
      </c>
      <c r="K184" s="1217">
        <f>חינוך!K169</f>
        <v>632737</v>
      </c>
      <c r="P184" s="1217">
        <f>שכר!AG240</f>
        <v>459343.45000000007</v>
      </c>
      <c r="Q184" s="1217">
        <v>717646</v>
      </c>
      <c r="R184" s="1217">
        <f>שכר!AM240</f>
        <v>650563.1026000001</v>
      </c>
      <c r="S184" s="1217">
        <f t="shared" si="56"/>
        <v>663574.36465200013</v>
      </c>
      <c r="W184" s="1217">
        <f>חינוך!AH163</f>
        <v>0</v>
      </c>
      <c r="X184" s="961"/>
      <c r="Y184" s="81"/>
      <c r="Z184" s="81"/>
      <c r="AA184" s="81"/>
      <c r="AB184" s="81"/>
      <c r="AC184" s="1212">
        <f t="shared" si="43"/>
        <v>-43263</v>
      </c>
      <c r="AD184" s="81" t="str">
        <f t="shared" si="47"/>
        <v>8133</v>
      </c>
      <c r="AG184" s="81"/>
    </row>
    <row r="185" spans="1:33" s="1230" customFormat="1" ht="15.6" customHeight="1" x14ac:dyDescent="0.25">
      <c r="A185" s="1255" t="str">
        <f t="shared" si="36"/>
        <v>11</v>
      </c>
      <c r="B185" s="1255"/>
      <c r="C185" s="1215">
        <v>813340.11</v>
      </c>
      <c r="D185" s="1216" t="s">
        <v>1926</v>
      </c>
      <c r="E185" s="1217"/>
      <c r="F185" s="1217"/>
      <c r="G185" s="1217"/>
      <c r="H185" s="1217"/>
      <c r="I185" s="1217"/>
      <c r="J185" s="1217"/>
      <c r="K185" s="1217"/>
      <c r="P185" s="1217">
        <f>שכר!AG243</f>
        <v>25346.42</v>
      </c>
      <c r="Q185" s="1217">
        <v>27837</v>
      </c>
      <c r="R185" s="1217">
        <f>שכר!AM243</f>
        <v>47949.971400000002</v>
      </c>
      <c r="S185" s="1217">
        <f t="shared" si="56"/>
        <v>48908.970828000005</v>
      </c>
      <c r="W185" s="1217"/>
      <c r="X185" s="961"/>
      <c r="Y185" s="81"/>
      <c r="Z185" s="81"/>
      <c r="AA185" s="81"/>
      <c r="AB185" s="81"/>
      <c r="AC185" s="1212"/>
      <c r="AD185" s="81"/>
      <c r="AG185" s="81"/>
    </row>
    <row r="186" spans="1:33" s="1230" customFormat="1" ht="15.6" customHeight="1" x14ac:dyDescent="0.25">
      <c r="A186" s="1255" t="str">
        <f t="shared" si="36"/>
        <v>13</v>
      </c>
      <c r="B186" s="1255"/>
      <c r="C186" s="1231" t="s">
        <v>705</v>
      </c>
      <c r="D186" s="1232" t="s">
        <v>706</v>
      </c>
      <c r="E186" s="1259">
        <f t="shared" ref="E186:O186" si="57">SUM(E166:E184)</f>
        <v>3264253.44</v>
      </c>
      <c r="F186" s="1259">
        <f t="shared" si="57"/>
        <v>3963957</v>
      </c>
      <c r="G186" s="1259">
        <f t="shared" si="57"/>
        <v>729106.96363636351</v>
      </c>
      <c r="H186" s="1259">
        <f t="shared" si="57"/>
        <v>4693063.9636363629</v>
      </c>
      <c r="I186" s="1259">
        <f t="shared" si="57"/>
        <v>4979287</v>
      </c>
      <c r="J186" s="1259">
        <f t="shared" si="57"/>
        <v>2739566</v>
      </c>
      <c r="K186" s="1259">
        <f t="shared" si="57"/>
        <v>4991715</v>
      </c>
      <c r="L186" s="1259">
        <f t="shared" si="57"/>
        <v>0</v>
      </c>
      <c r="M186" s="1259">
        <f t="shared" si="57"/>
        <v>0</v>
      </c>
      <c r="N186" s="1259">
        <f t="shared" si="57"/>
        <v>0</v>
      </c>
      <c r="O186" s="1260">
        <f t="shared" si="57"/>
        <v>0</v>
      </c>
      <c r="P186" s="1259">
        <f>SUM(P166:P185)</f>
        <v>3911103.2900000005</v>
      </c>
      <c r="Q186" s="1259">
        <f>SUM(Q166:Q185)</f>
        <v>5276829.666666667</v>
      </c>
      <c r="R186" s="1259">
        <f>SUM(R166:R185)</f>
        <v>5204584.3174000001</v>
      </c>
      <c r="S186" s="1259">
        <f>SUM(S166:S184)</f>
        <v>5233681.8689200003</v>
      </c>
      <c r="T186" s="1261" t="e">
        <f t="shared" ref="T186:AC186" si="58">SUM(T166:T184)</f>
        <v>#REF!</v>
      </c>
      <c r="U186" s="1259" t="e">
        <f t="shared" si="58"/>
        <v>#REF!</v>
      </c>
      <c r="V186" s="1259" t="e">
        <f t="shared" si="58"/>
        <v>#REF!</v>
      </c>
      <c r="W186" s="1259" t="e">
        <f t="shared" si="58"/>
        <v>#REF!</v>
      </c>
      <c r="X186" s="1259" t="e">
        <f t="shared" si="58"/>
        <v>#REF!</v>
      </c>
      <c r="Y186" s="1259" t="e">
        <f t="shared" si="58"/>
        <v>#REF!</v>
      </c>
      <c r="Z186" s="1259" t="e">
        <f t="shared" si="58"/>
        <v>#REF!</v>
      </c>
      <c r="AA186" s="1259" t="e">
        <f t="shared" si="58"/>
        <v>#REF!</v>
      </c>
      <c r="AB186" s="1259" t="e">
        <f t="shared" si="58"/>
        <v>#REF!</v>
      </c>
      <c r="AC186" s="1259" t="e">
        <f t="shared" si="58"/>
        <v>#REF!</v>
      </c>
      <c r="AD186" s="81" t="str">
        <f t="shared" si="47"/>
        <v>סה"כ</v>
      </c>
      <c r="AG186" s="81"/>
    </row>
    <row r="187" spans="1:33" s="1230" customFormat="1" ht="15.6" customHeight="1" x14ac:dyDescent="0.25">
      <c r="A187" s="1255" t="str">
        <f t="shared" si="36"/>
        <v/>
      </c>
      <c r="B187" s="1255"/>
      <c r="C187" s="1231"/>
      <c r="D187" s="1232"/>
      <c r="E187" s="667"/>
      <c r="F187" s="603"/>
      <c r="G187" s="667">
        <f>F187/9*3</f>
        <v>0</v>
      </c>
      <c r="H187" s="667"/>
      <c r="I187" s="667"/>
      <c r="J187" s="667"/>
      <c r="K187" s="667"/>
      <c r="P187" s="608"/>
      <c r="Q187" s="608"/>
      <c r="R187" s="608"/>
      <c r="S187" s="608"/>
      <c r="W187" s="667"/>
      <c r="X187" s="961"/>
      <c r="Y187" s="81"/>
      <c r="Z187" s="1212"/>
      <c r="AA187" s="1213"/>
      <c r="AB187" s="1213"/>
      <c r="AC187" s="1212">
        <f t="shared" si="43"/>
        <v>0</v>
      </c>
      <c r="AD187" s="81" t="str">
        <f t="shared" si="47"/>
        <v/>
      </c>
      <c r="AG187" s="1213"/>
    </row>
    <row r="188" spans="1:33" ht="15.6" customHeight="1" x14ac:dyDescent="0.25">
      <c r="A188" s="1255" t="str">
        <f t="shared" si="36"/>
        <v>11</v>
      </c>
      <c r="B188" s="1255"/>
      <c r="C188" s="1215">
        <v>814000.11</v>
      </c>
      <c r="D188" s="1216" t="s">
        <v>707</v>
      </c>
      <c r="E188" s="1217">
        <f>חינוך!I189</f>
        <v>1071887</v>
      </c>
      <c r="F188" s="1217">
        <v>898156</v>
      </c>
      <c r="G188" s="1217">
        <f>F188/10*2</f>
        <v>179631.2</v>
      </c>
      <c r="H188" s="1217">
        <f t="shared" ref="H188:H194" si="59">F188+G188</f>
        <v>1077787.2</v>
      </c>
      <c r="I188" s="1217">
        <v>775000</v>
      </c>
      <c r="J188" s="1217">
        <v>612625</v>
      </c>
      <c r="K188" s="1217">
        <f>חינוך!K189</f>
        <v>1032001</v>
      </c>
      <c r="P188" s="1217">
        <f>שכר!AG261</f>
        <v>683691.03</v>
      </c>
      <c r="Q188" s="1217">
        <v>1073665</v>
      </c>
      <c r="R188" s="1217">
        <f>שכר!AM261</f>
        <v>870516.71519999998</v>
      </c>
      <c r="S188" s="1217">
        <f>R188*0.2</f>
        <v>174103.34304000001</v>
      </c>
      <c r="W188" s="1217">
        <f>חינוך!AH189</f>
        <v>0</v>
      </c>
      <c r="X188" s="961"/>
      <c r="Y188" s="81"/>
      <c r="Z188" s="1212"/>
      <c r="AA188" s="1213"/>
      <c r="AB188" s="1213"/>
      <c r="AC188" s="1212">
        <f t="shared" si="43"/>
        <v>257001</v>
      </c>
      <c r="AD188" s="81" t="str">
        <f t="shared" si="47"/>
        <v>8140</v>
      </c>
      <c r="AG188" s="1213"/>
    </row>
    <row r="189" spans="1:33" ht="15.6" customHeight="1" x14ac:dyDescent="0.25">
      <c r="A189" s="1255" t="str">
        <f t="shared" si="36"/>
        <v>41</v>
      </c>
      <c r="B189" s="1255"/>
      <c r="C189" s="1210">
        <v>814000.41</v>
      </c>
      <c r="D189" s="689" t="s">
        <v>708</v>
      </c>
      <c r="E189" s="667">
        <v>135000</v>
      </c>
      <c r="F189" s="610">
        <v>123288</v>
      </c>
      <c r="G189" s="667">
        <f>F189/11</f>
        <v>11208</v>
      </c>
      <c r="H189" s="667">
        <f t="shared" si="59"/>
        <v>134496</v>
      </c>
      <c r="I189" s="610">
        <v>33750</v>
      </c>
      <c r="J189" s="667">
        <v>67248</v>
      </c>
      <c r="K189" s="667">
        <v>135000</v>
      </c>
      <c r="P189" s="608">
        <v>100872</v>
      </c>
      <c r="Q189" s="608">
        <f>P189/9*12</f>
        <v>134496</v>
      </c>
      <c r="R189" s="608">
        <v>135000</v>
      </c>
      <c r="S189" s="608">
        <v>135000</v>
      </c>
      <c r="W189" s="667">
        <v>135000</v>
      </c>
      <c r="X189" s="961"/>
      <c r="Y189" s="81">
        <v>135000</v>
      </c>
      <c r="Z189" s="1212"/>
      <c r="AA189" s="1213"/>
      <c r="AB189" s="1213"/>
      <c r="AC189" s="1212">
        <f t="shared" si="43"/>
        <v>101250</v>
      </c>
      <c r="AG189" s="1213"/>
    </row>
    <row r="190" spans="1:33" ht="15.6" customHeight="1" x14ac:dyDescent="0.25">
      <c r="A190" s="1255" t="str">
        <f t="shared" si="36"/>
        <v>31</v>
      </c>
      <c r="B190" s="1255"/>
      <c r="C190" s="1210">
        <v>814000.43099999998</v>
      </c>
      <c r="D190" s="689" t="s">
        <v>709</v>
      </c>
      <c r="E190" s="667">
        <v>99500</v>
      </c>
      <c r="F190" s="673">
        <v>42513</v>
      </c>
      <c r="G190" s="667">
        <f>F190/11+53000</f>
        <v>56864.818181818184</v>
      </c>
      <c r="H190" s="667">
        <f t="shared" si="59"/>
        <v>99377.818181818177</v>
      </c>
      <c r="I190" s="610">
        <f>99500*0.67</f>
        <v>66665</v>
      </c>
      <c r="J190" s="610">
        <v>18621</v>
      </c>
      <c r="K190" s="667">
        <v>45000</v>
      </c>
      <c r="P190" s="608">
        <v>34611</v>
      </c>
      <c r="Q190" s="608">
        <v>46892</v>
      </c>
      <c r="R190" s="1225">
        <f>45000/12*8</f>
        <v>30000</v>
      </c>
      <c r="S190" s="1225">
        <v>30000</v>
      </c>
      <c r="W190" s="610">
        <v>60000</v>
      </c>
      <c r="X190" s="961"/>
      <c r="Y190" s="81">
        <v>45000</v>
      </c>
      <c r="Z190" s="81"/>
      <c r="AA190" s="81"/>
      <c r="AB190" s="81"/>
      <c r="AC190" s="1212">
        <f t="shared" si="43"/>
        <v>-21665</v>
      </c>
      <c r="AG190" s="81"/>
    </row>
    <row r="191" spans="1:33" ht="15.6" customHeight="1" x14ac:dyDescent="0.25">
      <c r="A191" s="1255" t="str">
        <f t="shared" si="36"/>
        <v>32</v>
      </c>
      <c r="B191" s="1255"/>
      <c r="C191" s="1210">
        <v>814000.43200000003</v>
      </c>
      <c r="D191" s="689" t="s">
        <v>710</v>
      </c>
      <c r="E191" s="667">
        <v>51000</v>
      </c>
      <c r="F191" s="673">
        <v>35874</v>
      </c>
      <c r="G191" s="667">
        <f>F191/11</f>
        <v>3261.2727272727275</v>
      </c>
      <c r="H191" s="667">
        <f t="shared" si="59"/>
        <v>39135.272727272728</v>
      </c>
      <c r="I191" s="667">
        <f>51000*0.67</f>
        <v>34170</v>
      </c>
      <c r="J191" s="667">
        <v>16789</v>
      </c>
      <c r="K191" s="667">
        <v>35000</v>
      </c>
      <c r="P191" s="608">
        <v>33079</v>
      </c>
      <c r="Q191" s="608">
        <v>43489</v>
      </c>
      <c r="R191" s="1225">
        <f>35000/12*8</f>
        <v>23333.333333333332</v>
      </c>
      <c r="S191" s="1225">
        <v>23000</v>
      </c>
      <c r="W191" s="667">
        <v>35000</v>
      </c>
      <c r="X191" s="961"/>
      <c r="Y191" s="81">
        <v>35000</v>
      </c>
      <c r="Z191" s="1212"/>
      <c r="AA191" s="1213"/>
      <c r="AB191" s="1213"/>
      <c r="AC191" s="1212">
        <f t="shared" si="43"/>
        <v>830</v>
      </c>
      <c r="AG191" s="1213"/>
    </row>
    <row r="192" spans="1:33" ht="15.6" customHeight="1" x14ac:dyDescent="0.25">
      <c r="A192" s="1255" t="str">
        <f t="shared" si="36"/>
        <v>54</v>
      </c>
      <c r="B192" s="1255"/>
      <c r="C192" s="1210">
        <v>814000.54</v>
      </c>
      <c r="D192" s="689" t="s">
        <v>711</v>
      </c>
      <c r="E192" s="667">
        <v>2000</v>
      </c>
      <c r="F192" s="610">
        <v>2930</v>
      </c>
      <c r="G192" s="667">
        <f>F192/11</f>
        <v>266.36363636363637</v>
      </c>
      <c r="H192" s="667">
        <f t="shared" si="59"/>
        <v>3196.3636363636365</v>
      </c>
      <c r="I192" s="667">
        <v>2000</v>
      </c>
      <c r="J192" s="667">
        <v>1801</v>
      </c>
      <c r="K192" s="667">
        <f>J192*2</f>
        <v>3602</v>
      </c>
      <c r="P192" s="608">
        <v>2773</v>
      </c>
      <c r="Q192" s="608">
        <v>5139</v>
      </c>
      <c r="R192" s="1225">
        <f>3602/12*8</f>
        <v>2401.3333333333335</v>
      </c>
      <c r="S192" s="1225">
        <v>25000</v>
      </c>
      <c r="W192" s="667">
        <v>2000</v>
      </c>
      <c r="X192" s="961"/>
      <c r="Y192" s="81"/>
      <c r="Z192" s="1212"/>
      <c r="AA192" s="1213"/>
      <c r="AB192" s="1213"/>
      <c r="AC192" s="1212">
        <f t="shared" si="43"/>
        <v>1602</v>
      </c>
      <c r="AG192" s="1213"/>
    </row>
    <row r="193" spans="1:33" ht="15.6" customHeight="1" x14ac:dyDescent="0.25">
      <c r="A193" s="1255" t="str">
        <f t="shared" si="36"/>
        <v>82</v>
      </c>
      <c r="B193" s="1255"/>
      <c r="C193" s="1210">
        <v>814000.82</v>
      </c>
      <c r="D193" s="689" t="s">
        <v>712</v>
      </c>
      <c r="E193" s="667">
        <v>115000</v>
      </c>
      <c r="F193" s="610">
        <v>101000</v>
      </c>
      <c r="G193" s="667">
        <f>F193/11</f>
        <v>9181.818181818182</v>
      </c>
      <c r="H193" s="667">
        <f t="shared" si="59"/>
        <v>110181.81818181818</v>
      </c>
      <c r="I193" s="667">
        <v>115000</v>
      </c>
      <c r="J193" s="667">
        <v>15000</v>
      </c>
      <c r="K193" s="667">
        <v>100000</v>
      </c>
      <c r="P193" s="608">
        <v>70000</v>
      </c>
      <c r="Q193" s="608">
        <v>70000</v>
      </c>
      <c r="R193" s="1225">
        <v>60000</v>
      </c>
      <c r="S193" s="1225">
        <v>0</v>
      </c>
      <c r="W193" s="667">
        <v>115000</v>
      </c>
      <c r="X193" s="961"/>
      <c r="Y193" s="81">
        <v>100000</v>
      </c>
      <c r="Z193" s="81"/>
      <c r="AA193" s="81"/>
      <c r="AB193" s="81"/>
      <c r="AC193" s="1212">
        <f t="shared" si="43"/>
        <v>-15000</v>
      </c>
      <c r="AG193" s="81"/>
    </row>
    <row r="194" spans="1:33" ht="15.6" customHeight="1" x14ac:dyDescent="0.25">
      <c r="A194" s="1255" t="str">
        <f t="shared" si="36"/>
        <v>82</v>
      </c>
      <c r="B194" s="1255"/>
      <c r="C194" s="1236">
        <v>814100.82</v>
      </c>
      <c r="D194" s="1237" t="s">
        <v>713</v>
      </c>
      <c r="E194" s="610">
        <v>20000</v>
      </c>
      <c r="F194" s="610">
        <v>20000</v>
      </c>
      <c r="G194" s="667">
        <f>F194/11</f>
        <v>1818.1818181818182</v>
      </c>
      <c r="H194" s="667">
        <f t="shared" si="59"/>
        <v>21818.18181818182</v>
      </c>
      <c r="I194" s="610">
        <v>20000</v>
      </c>
      <c r="J194" s="610">
        <v>0</v>
      </c>
      <c r="K194" s="667">
        <f>J194*2</f>
        <v>0</v>
      </c>
      <c r="P194" s="608">
        <v>0</v>
      </c>
      <c r="Q194" s="608">
        <f>P194/9*12</f>
        <v>0</v>
      </c>
      <c r="R194" s="608">
        <v>0</v>
      </c>
      <c r="S194" s="608">
        <v>0</v>
      </c>
      <c r="W194" s="610">
        <v>0</v>
      </c>
      <c r="X194" s="961"/>
      <c r="Y194" s="81"/>
      <c r="Z194" s="1212"/>
      <c r="AA194" s="1213"/>
      <c r="AB194" s="1213"/>
      <c r="AC194" s="1212">
        <f t="shared" si="43"/>
        <v>-20000</v>
      </c>
      <c r="AG194" s="1213"/>
    </row>
    <row r="195" spans="1:33" ht="15.6" customHeight="1" x14ac:dyDescent="0.25">
      <c r="A195" s="1255" t="str">
        <f t="shared" si="36"/>
        <v>14</v>
      </c>
      <c r="B195" s="1255"/>
      <c r="C195" s="1231" t="s">
        <v>714</v>
      </c>
      <c r="D195" s="1262" t="s">
        <v>715</v>
      </c>
      <c r="E195" s="1259">
        <f t="shared" ref="E195:S195" si="60">SUM(E188:E194)</f>
        <v>1494387</v>
      </c>
      <c r="F195" s="1259">
        <f t="shared" si="60"/>
        <v>1223761</v>
      </c>
      <c r="G195" s="1259">
        <f t="shared" si="60"/>
        <v>262231.65454545454</v>
      </c>
      <c r="H195" s="1259">
        <f t="shared" si="60"/>
        <v>1485992.6545454543</v>
      </c>
      <c r="I195" s="1259">
        <f t="shared" si="60"/>
        <v>1046585</v>
      </c>
      <c r="J195" s="1259">
        <f t="shared" si="60"/>
        <v>732084</v>
      </c>
      <c r="K195" s="1259">
        <f t="shared" si="60"/>
        <v>1350603</v>
      </c>
      <c r="L195" s="1259">
        <f t="shared" si="60"/>
        <v>0</v>
      </c>
      <c r="M195" s="1259">
        <f t="shared" si="60"/>
        <v>0</v>
      </c>
      <c r="N195" s="1259">
        <f t="shared" si="60"/>
        <v>0</v>
      </c>
      <c r="O195" s="1260">
        <f t="shared" si="60"/>
        <v>0</v>
      </c>
      <c r="P195" s="1259">
        <f t="shared" si="60"/>
        <v>925026.03</v>
      </c>
      <c r="Q195" s="1259">
        <f t="shared" si="60"/>
        <v>1373681</v>
      </c>
      <c r="R195" s="1259">
        <f t="shared" si="60"/>
        <v>1121251.3818666665</v>
      </c>
      <c r="S195" s="1259">
        <f t="shared" si="60"/>
        <v>387103.34304000001</v>
      </c>
      <c r="T195" s="1261">
        <f t="shared" ref="T195:AC195" si="61">SUM(T188:T194)</f>
        <v>0</v>
      </c>
      <c r="U195" s="1259">
        <f t="shared" si="61"/>
        <v>0</v>
      </c>
      <c r="V195" s="1259">
        <f t="shared" si="61"/>
        <v>0</v>
      </c>
      <c r="W195" s="1259">
        <f t="shared" si="61"/>
        <v>347000</v>
      </c>
      <c r="X195" s="1259">
        <f t="shared" si="61"/>
        <v>0</v>
      </c>
      <c r="Y195" s="1259">
        <f t="shared" si="61"/>
        <v>315000</v>
      </c>
      <c r="Z195" s="1259">
        <f t="shared" si="61"/>
        <v>0</v>
      </c>
      <c r="AA195" s="1259">
        <f t="shared" si="61"/>
        <v>0</v>
      </c>
      <c r="AB195" s="1259">
        <f t="shared" si="61"/>
        <v>0</v>
      </c>
      <c r="AC195" s="1259">
        <f t="shared" si="61"/>
        <v>304018</v>
      </c>
      <c r="AD195" s="81" t="str">
        <f t="shared" si="47"/>
        <v>סה"כ</v>
      </c>
      <c r="AG195" s="1213"/>
    </row>
    <row r="196" spans="1:33" ht="15.6" customHeight="1" x14ac:dyDescent="0.25">
      <c r="A196" s="1255" t="str">
        <f t="shared" si="36"/>
        <v/>
      </c>
      <c r="B196" s="1255"/>
      <c r="C196" s="1231"/>
      <c r="D196" s="1262"/>
      <c r="E196" s="1259"/>
      <c r="F196" s="1263"/>
      <c r="G196" s="667">
        <f>F196/9*3</f>
        <v>0</v>
      </c>
      <c r="H196" s="667"/>
      <c r="I196" s="1259"/>
      <c r="J196" s="1259"/>
      <c r="K196" s="1259"/>
      <c r="P196" s="608"/>
      <c r="Q196" s="608"/>
      <c r="R196" s="608"/>
      <c r="S196" s="608"/>
      <c r="W196" s="1259"/>
      <c r="X196" s="1264"/>
      <c r="Y196" s="81"/>
      <c r="Z196" s="81"/>
      <c r="AA196" s="81"/>
      <c r="AB196" s="81"/>
      <c r="AC196" s="1212">
        <f t="shared" si="43"/>
        <v>0</v>
      </c>
      <c r="AD196" s="81" t="str">
        <f t="shared" si="47"/>
        <v/>
      </c>
      <c r="AG196" s="81"/>
    </row>
    <row r="197" spans="1:33" ht="15.6" customHeight="1" x14ac:dyDescent="0.25">
      <c r="A197" s="1255" t="str">
        <f t="shared" si="36"/>
        <v>11</v>
      </c>
      <c r="B197" s="1255"/>
      <c r="C197" s="1215">
        <v>815200.11</v>
      </c>
      <c r="D197" s="1216" t="s">
        <v>716</v>
      </c>
      <c r="E197" s="1217">
        <f>חינוך!I189</f>
        <v>1071887</v>
      </c>
      <c r="F197" s="1217">
        <v>508698</v>
      </c>
      <c r="G197" s="1217">
        <f>F197/10*2</f>
        <v>101739.6</v>
      </c>
      <c r="H197" s="1217">
        <f>F197+G197</f>
        <v>610437.6</v>
      </c>
      <c r="I197" s="1217">
        <v>101667</v>
      </c>
      <c r="J197" s="1217">
        <v>606428</v>
      </c>
      <c r="K197" s="1217">
        <f>חינוך!K191</f>
        <v>800000</v>
      </c>
      <c r="P197" s="1217">
        <f>שכר!AG284</f>
        <v>835169.38999999978</v>
      </c>
      <c r="Q197" s="1217">
        <v>805005</v>
      </c>
      <c r="R197" s="1217">
        <f>שכר!AM284</f>
        <v>0</v>
      </c>
      <c r="S197" s="1217">
        <f t="shared" ref="S197" si="62">R197*1.02</f>
        <v>0</v>
      </c>
      <c r="W197" s="1217">
        <f>חינוך!AH191</f>
        <v>0</v>
      </c>
      <c r="X197" s="961"/>
      <c r="Y197" s="81"/>
      <c r="Z197" s="1212"/>
      <c r="AA197" s="1213"/>
      <c r="AB197" s="1213"/>
      <c r="AC197" s="1212">
        <f t="shared" si="43"/>
        <v>698333</v>
      </c>
      <c r="AD197" s="81" t="str">
        <f t="shared" si="47"/>
        <v>8152</v>
      </c>
      <c r="AG197" s="1213"/>
    </row>
    <row r="198" spans="1:33" ht="15.6" customHeight="1" x14ac:dyDescent="0.25">
      <c r="A198" s="1255" t="str">
        <f t="shared" si="36"/>
        <v>15</v>
      </c>
      <c r="B198" s="1255"/>
      <c r="C198" s="1231" t="s">
        <v>717</v>
      </c>
      <c r="D198" s="1262" t="s">
        <v>718</v>
      </c>
      <c r="E198" s="1259">
        <f t="shared" ref="E198:S198" si="63">SUM(E197:E197)</f>
        <v>1071887</v>
      </c>
      <c r="F198" s="1259">
        <f t="shared" si="63"/>
        <v>508698</v>
      </c>
      <c r="G198" s="1259">
        <f t="shared" si="63"/>
        <v>101739.6</v>
      </c>
      <c r="H198" s="1259">
        <f t="shared" si="63"/>
        <v>610437.6</v>
      </c>
      <c r="I198" s="1259">
        <f t="shared" si="63"/>
        <v>101667</v>
      </c>
      <c r="J198" s="1259">
        <f t="shared" si="63"/>
        <v>606428</v>
      </c>
      <c r="K198" s="1259">
        <f t="shared" si="63"/>
        <v>800000</v>
      </c>
      <c r="L198" s="1259">
        <f t="shared" si="63"/>
        <v>0</v>
      </c>
      <c r="M198" s="1259">
        <f t="shared" si="63"/>
        <v>0</v>
      </c>
      <c r="N198" s="1259">
        <f t="shared" si="63"/>
        <v>0</v>
      </c>
      <c r="O198" s="1260">
        <f t="shared" si="63"/>
        <v>0</v>
      </c>
      <c r="P198" s="1259">
        <f t="shared" si="63"/>
        <v>835169.38999999978</v>
      </c>
      <c r="Q198" s="1259">
        <f t="shared" si="63"/>
        <v>805005</v>
      </c>
      <c r="R198" s="1259">
        <f t="shared" si="63"/>
        <v>0</v>
      </c>
      <c r="S198" s="1259">
        <f t="shared" si="63"/>
        <v>0</v>
      </c>
      <c r="T198" s="1261">
        <f t="shared" ref="T198:AC198" si="64">SUM(T197:T197)</f>
        <v>0</v>
      </c>
      <c r="U198" s="1259">
        <f t="shared" si="64"/>
        <v>0</v>
      </c>
      <c r="V198" s="1259">
        <f t="shared" si="64"/>
        <v>0</v>
      </c>
      <c r="W198" s="1259">
        <f t="shared" si="64"/>
        <v>0</v>
      </c>
      <c r="X198" s="1259">
        <f t="shared" si="64"/>
        <v>0</v>
      </c>
      <c r="Y198" s="1259">
        <f t="shared" si="64"/>
        <v>0</v>
      </c>
      <c r="Z198" s="1259">
        <f t="shared" si="64"/>
        <v>0</v>
      </c>
      <c r="AA198" s="1259">
        <f t="shared" si="64"/>
        <v>0</v>
      </c>
      <c r="AB198" s="1259">
        <f t="shared" si="64"/>
        <v>0</v>
      </c>
      <c r="AC198" s="1259">
        <f t="shared" si="64"/>
        <v>698333</v>
      </c>
      <c r="AD198" s="81" t="str">
        <f t="shared" si="47"/>
        <v>סה"כ</v>
      </c>
      <c r="AG198" s="1213"/>
    </row>
    <row r="199" spans="1:33" ht="15.6" customHeight="1" x14ac:dyDescent="0.25">
      <c r="A199" s="1255" t="str">
        <f t="shared" si="36"/>
        <v/>
      </c>
      <c r="B199" s="1255"/>
      <c r="C199" s="1231"/>
      <c r="D199" s="1262"/>
      <c r="E199" s="1259"/>
      <c r="F199" s="1263"/>
      <c r="G199" s="667">
        <f>F199/9*3</f>
        <v>0</v>
      </c>
      <c r="H199" s="667"/>
      <c r="I199" s="1259"/>
      <c r="J199" s="1259"/>
      <c r="K199" s="1259"/>
      <c r="P199" s="608"/>
      <c r="Q199" s="608"/>
      <c r="R199" s="608"/>
      <c r="S199" s="608"/>
      <c r="W199" s="1259"/>
      <c r="X199" s="1264"/>
      <c r="Y199" s="81"/>
      <c r="Z199" s="1212"/>
      <c r="AA199" s="1213"/>
      <c r="AB199" s="1213"/>
      <c r="AC199" s="1212">
        <f t="shared" si="43"/>
        <v>0</v>
      </c>
      <c r="AD199" s="81" t="str">
        <f t="shared" si="47"/>
        <v/>
      </c>
      <c r="AG199" s="1213"/>
    </row>
    <row r="200" spans="1:33" ht="15.6" customHeight="1" x14ac:dyDescent="0.25">
      <c r="A200" s="1255" t="str">
        <f t="shared" si="36"/>
        <v>11</v>
      </c>
      <c r="B200" s="1255"/>
      <c r="C200" s="1215">
        <v>817100.11</v>
      </c>
      <c r="D200" s="1216" t="s">
        <v>719</v>
      </c>
      <c r="E200" s="1217">
        <f>חינוך!I192</f>
        <v>34569</v>
      </c>
      <c r="F200" s="1217">
        <v>34568</v>
      </c>
      <c r="G200" s="1217">
        <f>F200/10*2</f>
        <v>6913.6</v>
      </c>
      <c r="H200" s="1217">
        <f t="shared" ref="H200:H230" si="65">F200+G200</f>
        <v>41481.599999999999</v>
      </c>
      <c r="I200" s="1217">
        <f>חינוך!K193</f>
        <v>60000</v>
      </c>
      <c r="J200" s="1217">
        <v>34069</v>
      </c>
      <c r="K200" s="1217">
        <f>חינוך!K193</f>
        <v>60000</v>
      </c>
      <c r="P200" s="1217">
        <f>שכר!AG286</f>
        <v>54471.45</v>
      </c>
      <c r="Q200" s="1217">
        <v>77850</v>
      </c>
      <c r="R200" s="1217">
        <f>שכר!AM286</f>
        <v>75857.124599999996</v>
      </c>
      <c r="S200" s="1217">
        <f t="shared" ref="S200" si="66">R200*1.02</f>
        <v>77374.267091999995</v>
      </c>
      <c r="W200" s="1217">
        <f>חינוך!AH193</f>
        <v>0</v>
      </c>
      <c r="X200" s="961"/>
      <c r="Y200" s="81"/>
      <c r="Z200" s="1212"/>
      <c r="AA200" s="1213"/>
      <c r="AB200" s="1213"/>
      <c r="AC200" s="1212">
        <f t="shared" si="43"/>
        <v>0</v>
      </c>
      <c r="AD200" s="81" t="str">
        <f t="shared" si="47"/>
        <v>8171</v>
      </c>
      <c r="AG200" s="1213"/>
    </row>
    <row r="201" spans="1:33" ht="15.6" customHeight="1" x14ac:dyDescent="0.25">
      <c r="A201" s="1255" t="str">
        <f t="shared" si="36"/>
        <v>75</v>
      </c>
      <c r="B201" s="1255"/>
      <c r="C201" s="1210">
        <v>817100.75</v>
      </c>
      <c r="D201" s="689" t="s">
        <v>720</v>
      </c>
      <c r="E201" s="667">
        <v>660000</v>
      </c>
      <c r="F201" s="667">
        <v>509365</v>
      </c>
      <c r="G201" s="667">
        <f>F201/11+60000+44000</f>
        <v>150305.90909090909</v>
      </c>
      <c r="H201" s="667">
        <f t="shared" si="65"/>
        <v>659670.90909090906</v>
      </c>
      <c r="I201" s="667">
        <f>(1350-32)*45.62*12*1.17</f>
        <v>844185.3263999999</v>
      </c>
      <c r="J201" s="667">
        <f>253354+X201</f>
        <v>424954</v>
      </c>
      <c r="K201" s="667">
        <f>J201*2</f>
        <v>849908</v>
      </c>
      <c r="P201" s="608">
        <f>605606+55000</f>
        <v>660606</v>
      </c>
      <c r="Q201" s="608">
        <v>921457</v>
      </c>
      <c r="R201" s="608">
        <v>922000</v>
      </c>
      <c r="S201" s="608">
        <f>R201</f>
        <v>922000</v>
      </c>
      <c r="W201" s="667">
        <f>(1350-32)*45.62*12*1.17</f>
        <v>844185.3263999999</v>
      </c>
      <c r="X201" s="961">
        <f>85800*2</f>
        <v>171600</v>
      </c>
      <c r="Y201" s="81"/>
      <c r="Z201" s="1212"/>
      <c r="AA201" s="1213"/>
      <c r="AB201" s="81"/>
      <c r="AC201" s="1212">
        <f t="shared" si="43"/>
        <v>5722.6736000000965</v>
      </c>
      <c r="AG201" s="1213"/>
    </row>
    <row r="202" spans="1:33" ht="15.6" customHeight="1" x14ac:dyDescent="0.25">
      <c r="A202" s="1255" t="str">
        <f t="shared" ref="A202:A240" si="67">RIGHT(C202,2)</f>
        <v>11</v>
      </c>
      <c r="B202" s="1255"/>
      <c r="C202" s="1215">
        <v>817120.11</v>
      </c>
      <c r="D202" s="1216" t="s">
        <v>721</v>
      </c>
      <c r="E202" s="1217">
        <f>חינוך!I194</f>
        <v>40036</v>
      </c>
      <c r="F202" s="1217">
        <v>18774</v>
      </c>
      <c r="G202" s="1217">
        <f>F202/10*2</f>
        <v>3754.8</v>
      </c>
      <c r="H202" s="1217">
        <f t="shared" si="65"/>
        <v>22528.799999999999</v>
      </c>
      <c r="I202" s="1217">
        <v>40000</v>
      </c>
      <c r="J202" s="1217">
        <v>15971</v>
      </c>
      <c r="K202" s="1217">
        <f>חינוך!K195</f>
        <v>46000</v>
      </c>
      <c r="P202" s="1217">
        <f>שכר!AG290</f>
        <v>14469.79</v>
      </c>
      <c r="Q202" s="1217">
        <v>30763</v>
      </c>
      <c r="R202" s="1217">
        <f>שכר!AM290</f>
        <v>40000</v>
      </c>
      <c r="S202" s="1217">
        <f t="shared" ref="S202:S203" si="68">R202*1.02</f>
        <v>40800</v>
      </c>
      <c r="W202" s="1217">
        <f>חינוך!AH193</f>
        <v>0</v>
      </c>
      <c r="X202" s="961"/>
      <c r="Y202" s="81"/>
      <c r="Z202" s="1212"/>
      <c r="AA202" s="1213"/>
      <c r="AB202" s="1213"/>
      <c r="AC202" s="1212">
        <f t="shared" si="43"/>
        <v>6000</v>
      </c>
      <c r="AD202" s="81" t="str">
        <f t="shared" si="47"/>
        <v>8171</v>
      </c>
      <c r="AG202" s="1213"/>
    </row>
    <row r="203" spans="1:33" ht="15.6" customHeight="1" x14ac:dyDescent="0.25">
      <c r="A203" s="1255" t="str">
        <f t="shared" si="67"/>
        <v>11</v>
      </c>
      <c r="B203" s="1255"/>
      <c r="C203" s="1215">
        <v>817200.11</v>
      </c>
      <c r="D203" s="1216" t="s">
        <v>722</v>
      </c>
      <c r="E203" s="1217">
        <f>חינוך!I195</f>
        <v>40036</v>
      </c>
      <c r="F203" s="1217">
        <v>40268</v>
      </c>
      <c r="G203" s="1217">
        <f>F203/10*2</f>
        <v>8053.6</v>
      </c>
      <c r="H203" s="1217">
        <f t="shared" si="65"/>
        <v>48321.599999999999</v>
      </c>
      <c r="I203" s="1217">
        <v>46000</v>
      </c>
      <c r="J203" s="1217">
        <v>26354</v>
      </c>
      <c r="K203" s="1217">
        <f>חינוך!K197</f>
        <v>48000</v>
      </c>
      <c r="P203" s="1217">
        <f>שכר!AG292</f>
        <v>37526.449999999997</v>
      </c>
      <c r="Q203" s="1217">
        <v>49217</v>
      </c>
      <c r="R203" s="1217">
        <f>שכר!AM292</f>
        <v>46755.627</v>
      </c>
      <c r="S203" s="1217">
        <f t="shared" si="68"/>
        <v>47690.739540000002</v>
      </c>
      <c r="W203" s="1217">
        <f>חינוך!AH195</f>
        <v>0</v>
      </c>
      <c r="X203" s="961"/>
      <c r="Y203" s="81"/>
      <c r="Z203" s="1212"/>
      <c r="AA203" s="81"/>
      <c r="AB203" s="1213"/>
      <c r="AC203" s="1212">
        <f t="shared" si="43"/>
        <v>2000</v>
      </c>
      <c r="AD203" s="81" t="str">
        <f t="shared" si="47"/>
        <v>8172</v>
      </c>
      <c r="AG203" s="81"/>
    </row>
    <row r="204" spans="1:33" ht="15.6" customHeight="1" x14ac:dyDescent="0.25">
      <c r="A204" s="1255" t="str">
        <f t="shared" si="67"/>
        <v>81</v>
      </c>
      <c r="B204" s="1255"/>
      <c r="C204" s="1210">
        <v>817230.81</v>
      </c>
      <c r="D204" s="689" t="s">
        <v>723</v>
      </c>
      <c r="E204" s="667">
        <v>38900</v>
      </c>
      <c r="F204" s="667">
        <v>0</v>
      </c>
      <c r="G204" s="667">
        <f>F204/11</f>
        <v>0</v>
      </c>
      <c r="H204" s="667">
        <f t="shared" si="65"/>
        <v>0</v>
      </c>
      <c r="I204" s="610">
        <v>58000</v>
      </c>
      <c r="J204" s="610">
        <v>9574</v>
      </c>
      <c r="K204" s="610">
        <f>J204*2</f>
        <v>19148</v>
      </c>
      <c r="P204" s="608">
        <v>9574</v>
      </c>
      <c r="Q204" s="608">
        <v>9574</v>
      </c>
      <c r="R204" s="608">
        <v>25000</v>
      </c>
      <c r="S204" s="608">
        <f>R204</f>
        <v>25000</v>
      </c>
      <c r="W204" s="610">
        <v>58000</v>
      </c>
      <c r="X204" s="961"/>
      <c r="Y204" s="81"/>
      <c r="Z204" s="81"/>
      <c r="AA204" s="81"/>
      <c r="AB204" s="81"/>
      <c r="AC204" s="1212">
        <f t="shared" si="43"/>
        <v>-38852</v>
      </c>
      <c r="AG204" s="81"/>
    </row>
    <row r="205" spans="1:33" ht="15.6" customHeight="1" x14ac:dyDescent="0.25">
      <c r="A205" s="1255" t="str">
        <f t="shared" si="67"/>
        <v>11</v>
      </c>
      <c r="B205" s="1255"/>
      <c r="C205" s="1215">
        <v>817300.11</v>
      </c>
      <c r="D205" s="1216" t="s">
        <v>724</v>
      </c>
      <c r="E205" s="1217">
        <f>חינוך!I209</f>
        <v>700426</v>
      </c>
      <c r="F205" s="1217">
        <v>571362</v>
      </c>
      <c r="G205" s="1217">
        <f>F205/10*2</f>
        <v>114272.4</v>
      </c>
      <c r="H205" s="1217">
        <f t="shared" si="65"/>
        <v>685634.4</v>
      </c>
      <c r="I205" s="1217">
        <v>707000</v>
      </c>
      <c r="J205" s="1217">
        <v>353007</v>
      </c>
      <c r="K205" s="1217">
        <f>חינוך!K209</f>
        <v>716608</v>
      </c>
      <c r="P205" s="1217">
        <f>שכר!AG302</f>
        <v>522797.57999999996</v>
      </c>
      <c r="Q205" s="1217">
        <v>691919</v>
      </c>
      <c r="R205" s="1217">
        <f>שכר!AM302</f>
        <v>691034.79180000012</v>
      </c>
      <c r="S205" s="1217">
        <f t="shared" ref="S205" si="69">R205*1.02</f>
        <v>704855.48763600015</v>
      </c>
      <c r="W205" s="1217">
        <f>חינוך!AH209</f>
        <v>0</v>
      </c>
      <c r="X205" s="961"/>
      <c r="Y205" s="81"/>
      <c r="Z205" s="81"/>
      <c r="AA205" s="81"/>
      <c r="AB205" s="81"/>
      <c r="AC205" s="1212">
        <f t="shared" si="43"/>
        <v>9608</v>
      </c>
      <c r="AD205" s="81" t="str">
        <f t="shared" si="47"/>
        <v>8173</v>
      </c>
      <c r="AG205" s="81"/>
    </row>
    <row r="206" spans="1:33" ht="15.6" customHeight="1" x14ac:dyDescent="0.25">
      <c r="A206" s="1255" t="str">
        <f t="shared" si="67"/>
        <v>41</v>
      </c>
      <c r="B206" s="1255"/>
      <c r="C206" s="1210">
        <v>817300.41</v>
      </c>
      <c r="D206" s="689" t="s">
        <v>725</v>
      </c>
      <c r="E206" s="667">
        <f>3000*12</f>
        <v>36000</v>
      </c>
      <c r="F206" s="667">
        <v>33000</v>
      </c>
      <c r="G206" s="667">
        <f t="shared" ref="G206:G212" si="70">F206/11</f>
        <v>3000</v>
      </c>
      <c r="H206" s="667">
        <f t="shared" si="65"/>
        <v>36000</v>
      </c>
      <c r="I206" s="667">
        <v>36000</v>
      </c>
      <c r="J206" s="667">
        <v>18000</v>
      </c>
      <c r="K206" s="667">
        <f>J206*2</f>
        <v>36000</v>
      </c>
      <c r="P206" s="608">
        <v>27000</v>
      </c>
      <c r="Q206" s="608">
        <f>P206/9*12</f>
        <v>36000</v>
      </c>
      <c r="R206" s="608">
        <v>36000</v>
      </c>
      <c r="S206" s="608">
        <f>R206</f>
        <v>36000</v>
      </c>
      <c r="W206" s="667">
        <v>36000</v>
      </c>
      <c r="X206" s="961"/>
      <c r="Y206" s="81"/>
      <c r="Z206" s="1212"/>
      <c r="AA206" s="1213"/>
      <c r="AB206" s="1213"/>
      <c r="AC206" s="1212">
        <f t="shared" si="43"/>
        <v>0</v>
      </c>
      <c r="AG206" s="1213"/>
    </row>
    <row r="207" spans="1:33" ht="15.6" customHeight="1" x14ac:dyDescent="0.25">
      <c r="A207" s="1255" t="str">
        <f t="shared" si="67"/>
        <v>31</v>
      </c>
      <c r="B207" s="1255"/>
      <c r="C207" s="1210">
        <v>817300.43099999998</v>
      </c>
      <c r="D207" s="689" t="s">
        <v>726</v>
      </c>
      <c r="E207" s="667">
        <v>3200</v>
      </c>
      <c r="F207" s="610">
        <v>2053</v>
      </c>
      <c r="G207" s="667">
        <f t="shared" si="70"/>
        <v>186.63636363636363</v>
      </c>
      <c r="H207" s="667">
        <f t="shared" si="65"/>
        <v>2239.6363636363635</v>
      </c>
      <c r="I207" s="610">
        <v>3200</v>
      </c>
      <c r="J207" s="610">
        <v>2166</v>
      </c>
      <c r="K207" s="667">
        <f>J207*2</f>
        <v>4332</v>
      </c>
      <c r="P207" s="608">
        <v>2698</v>
      </c>
      <c r="Q207" s="608">
        <v>4026</v>
      </c>
      <c r="R207" s="608">
        <v>3600</v>
      </c>
      <c r="S207" s="608">
        <f>R207</f>
        <v>3600</v>
      </c>
      <c r="W207" s="610">
        <v>3200</v>
      </c>
      <c r="X207" s="961"/>
      <c r="Y207" s="81"/>
      <c r="Z207" s="1212"/>
      <c r="AA207" s="1213"/>
      <c r="AB207" s="81"/>
      <c r="AC207" s="1212">
        <f t="shared" si="43"/>
        <v>1132</v>
      </c>
      <c r="AG207" s="1213"/>
    </row>
    <row r="208" spans="1:33" ht="15.6" customHeight="1" x14ac:dyDescent="0.25">
      <c r="A208" s="1255" t="str">
        <f t="shared" si="67"/>
        <v>32</v>
      </c>
      <c r="B208" s="1255"/>
      <c r="C208" s="1210">
        <v>817300.43200000003</v>
      </c>
      <c r="D208" s="689" t="s">
        <v>727</v>
      </c>
      <c r="E208" s="667">
        <v>2800</v>
      </c>
      <c r="F208" s="1263">
        <v>1260</v>
      </c>
      <c r="G208" s="667">
        <f t="shared" si="70"/>
        <v>114.54545454545455</v>
      </c>
      <c r="H208" s="667">
        <f t="shared" si="65"/>
        <v>1374.5454545454545</v>
      </c>
      <c r="I208" s="610">
        <v>2800</v>
      </c>
      <c r="J208" s="610">
        <v>393</v>
      </c>
      <c r="K208" s="667">
        <v>2800</v>
      </c>
      <c r="P208" s="608">
        <v>393</v>
      </c>
      <c r="Q208" s="608">
        <v>392</v>
      </c>
      <c r="R208" s="608">
        <v>500</v>
      </c>
      <c r="S208" s="608">
        <f>R208</f>
        <v>500</v>
      </c>
      <c r="W208" s="610">
        <v>2800</v>
      </c>
      <c r="X208" s="961"/>
      <c r="Y208" s="81">
        <v>2800</v>
      </c>
      <c r="Z208" s="1212"/>
      <c r="AA208" s="1213"/>
      <c r="AB208" s="1213"/>
      <c r="AC208" s="1212">
        <f t="shared" si="43"/>
        <v>0</v>
      </c>
      <c r="AG208" s="1213"/>
    </row>
    <row r="209" spans="1:33" ht="15.6" customHeight="1" x14ac:dyDescent="0.25">
      <c r="A209" s="1255" t="str">
        <f t="shared" si="67"/>
        <v>47</v>
      </c>
      <c r="B209" s="1255"/>
      <c r="C209" s="1210">
        <v>817300.47</v>
      </c>
      <c r="D209" s="689" t="s">
        <v>728</v>
      </c>
      <c r="E209" s="667">
        <v>5200</v>
      </c>
      <c r="F209" s="667">
        <v>2731</v>
      </c>
      <c r="G209" s="667">
        <f t="shared" si="70"/>
        <v>248.27272727272728</v>
      </c>
      <c r="H209" s="667">
        <f t="shared" si="65"/>
        <v>2979.2727272727275</v>
      </c>
      <c r="I209" s="667">
        <v>25000</v>
      </c>
      <c r="J209" s="667">
        <v>0</v>
      </c>
      <c r="K209" s="667">
        <v>10000</v>
      </c>
      <c r="P209" s="608">
        <v>15270</v>
      </c>
      <c r="Q209" s="608">
        <v>15270</v>
      </c>
      <c r="R209" s="608">
        <v>20000</v>
      </c>
      <c r="S209" s="608">
        <f>R209</f>
        <v>20000</v>
      </c>
      <c r="W209" s="667">
        <v>25000</v>
      </c>
      <c r="X209" s="961"/>
      <c r="Y209" s="81">
        <v>10000</v>
      </c>
      <c r="Z209" s="1212"/>
      <c r="AA209" s="1213"/>
      <c r="AB209" s="1213"/>
      <c r="AC209" s="1212">
        <f t="shared" si="43"/>
        <v>-15000</v>
      </c>
      <c r="AG209" s="1213"/>
    </row>
    <row r="210" spans="1:33" ht="15.6" customHeight="1" x14ac:dyDescent="0.25">
      <c r="A210" s="1255" t="str">
        <f t="shared" si="67"/>
        <v>54</v>
      </c>
      <c r="B210" s="1255"/>
      <c r="C210" s="1210">
        <v>817300.54</v>
      </c>
      <c r="D210" s="689" t="s">
        <v>1702</v>
      </c>
      <c r="E210" s="667">
        <v>2500</v>
      </c>
      <c r="F210" s="667">
        <v>4889</v>
      </c>
      <c r="G210" s="667">
        <f t="shared" si="70"/>
        <v>444.45454545454544</v>
      </c>
      <c r="H210" s="667">
        <f t="shared" si="65"/>
        <v>5333.454545454545</v>
      </c>
      <c r="I210" s="667">
        <f>F210*2</f>
        <v>9778</v>
      </c>
      <c r="J210" s="667">
        <v>2013</v>
      </c>
      <c r="K210" s="667">
        <v>10000</v>
      </c>
      <c r="P210" s="608">
        <v>3201</v>
      </c>
      <c r="Q210" s="608">
        <v>4713</v>
      </c>
      <c r="R210" s="608">
        <v>4200</v>
      </c>
      <c r="S210" s="608">
        <f>R210</f>
        <v>4200</v>
      </c>
      <c r="W210" s="667">
        <v>6444</v>
      </c>
      <c r="X210" s="961"/>
      <c r="Y210" s="81">
        <v>10000</v>
      </c>
      <c r="Z210" s="1212"/>
      <c r="AA210" s="1213"/>
      <c r="AB210" s="81"/>
      <c r="AC210" s="1212">
        <f t="shared" si="43"/>
        <v>222</v>
      </c>
      <c r="AG210" s="1213"/>
    </row>
    <row r="211" spans="1:33" ht="15.6" customHeight="1" x14ac:dyDescent="0.25">
      <c r="A211" s="1255" t="str">
        <f t="shared" si="67"/>
        <v>72</v>
      </c>
      <c r="B211" s="1255"/>
      <c r="C211" s="1210">
        <v>817300.72</v>
      </c>
      <c r="D211" s="689" t="s">
        <v>1775</v>
      </c>
      <c r="E211" s="667">
        <v>0</v>
      </c>
      <c r="F211" s="667">
        <v>0</v>
      </c>
      <c r="G211" s="667">
        <f t="shared" si="70"/>
        <v>0</v>
      </c>
      <c r="H211" s="667">
        <f t="shared" si="65"/>
        <v>0</v>
      </c>
      <c r="I211" s="667">
        <v>16000</v>
      </c>
      <c r="J211" s="667">
        <v>0</v>
      </c>
      <c r="K211" s="667">
        <f>J211*2</f>
        <v>0</v>
      </c>
      <c r="P211" s="608"/>
      <c r="Q211" s="608">
        <v>0</v>
      </c>
      <c r="R211" s="1225">
        <v>15000</v>
      </c>
      <c r="S211" s="1225">
        <v>15000</v>
      </c>
      <c r="W211" s="667">
        <v>2500</v>
      </c>
      <c r="X211" s="961"/>
      <c r="Y211" s="81"/>
      <c r="Z211" s="1212"/>
      <c r="AA211" s="1213"/>
      <c r="AB211" s="1213"/>
      <c r="AC211" s="1212">
        <f t="shared" si="43"/>
        <v>-16000</v>
      </c>
      <c r="AG211" s="1213"/>
    </row>
    <row r="212" spans="1:33" ht="15.6" customHeight="1" x14ac:dyDescent="0.25">
      <c r="A212" s="1255" t="str">
        <f t="shared" si="67"/>
        <v>78</v>
      </c>
      <c r="B212" s="1255"/>
      <c r="C212" s="1210">
        <v>817300.78</v>
      </c>
      <c r="D212" s="689" t="s">
        <v>730</v>
      </c>
      <c r="E212" s="667">
        <f>6172/2*12</f>
        <v>37032</v>
      </c>
      <c r="F212" s="667">
        <v>18468</v>
      </c>
      <c r="G212" s="667">
        <f t="shared" si="70"/>
        <v>1678.909090909091</v>
      </c>
      <c r="H212" s="667">
        <f t="shared" si="65"/>
        <v>20146.909090909092</v>
      </c>
      <c r="I212" s="667">
        <v>37032</v>
      </c>
      <c r="J212" s="667">
        <v>21370</v>
      </c>
      <c r="K212" s="667">
        <f>J212*2</f>
        <v>42740</v>
      </c>
      <c r="P212" s="608">
        <v>21370</v>
      </c>
      <c r="Q212" s="608">
        <v>34670</v>
      </c>
      <c r="R212" s="608">
        <v>28000</v>
      </c>
      <c r="S212" s="608">
        <f>R212</f>
        <v>28000</v>
      </c>
      <c r="W212" s="667">
        <v>37032</v>
      </c>
      <c r="X212" s="961"/>
      <c r="Y212" s="81"/>
      <c r="Z212" s="1212"/>
      <c r="AA212" s="1213"/>
      <c r="AB212" s="1213"/>
      <c r="AC212" s="1212">
        <f t="shared" si="43"/>
        <v>5708</v>
      </c>
      <c r="AG212" s="1213"/>
    </row>
    <row r="213" spans="1:33" ht="15.6" customHeight="1" x14ac:dyDescent="0.25">
      <c r="A213" s="1255" t="str">
        <f t="shared" si="67"/>
        <v>44</v>
      </c>
      <c r="B213" s="1255"/>
      <c r="C213" s="1210">
        <v>817500.44</v>
      </c>
      <c r="D213" s="689" t="s">
        <v>731</v>
      </c>
      <c r="E213" s="667">
        <v>122500</v>
      </c>
      <c r="F213" s="667">
        <v>154233</v>
      </c>
      <c r="G213" s="1140">
        <v>0</v>
      </c>
      <c r="H213" s="667">
        <f t="shared" si="65"/>
        <v>154233</v>
      </c>
      <c r="I213" s="667">
        <v>122500</v>
      </c>
      <c r="J213" s="667">
        <v>81666</v>
      </c>
      <c r="K213" s="667">
        <v>132000</v>
      </c>
      <c r="L213" s="1209"/>
      <c r="M213" s="1209"/>
      <c r="N213" s="1209"/>
      <c r="O213" s="1209"/>
      <c r="P213" s="608">
        <v>91875</v>
      </c>
      <c r="Q213" s="608">
        <v>122500</v>
      </c>
      <c r="R213" s="608">
        <v>122450</v>
      </c>
      <c r="S213" s="608">
        <f>R213</f>
        <v>122450</v>
      </c>
      <c r="W213" s="667">
        <v>122500</v>
      </c>
      <c r="X213" s="961"/>
      <c r="Y213" s="81">
        <f>11000*12</f>
        <v>132000</v>
      </c>
      <c r="Z213" s="1212"/>
      <c r="AA213" s="1213"/>
      <c r="AB213" s="1213"/>
      <c r="AC213" s="1212">
        <f t="shared" si="43"/>
        <v>9500</v>
      </c>
      <c r="AG213" s="1213"/>
    </row>
    <row r="214" spans="1:33" ht="15.6" customHeight="1" x14ac:dyDescent="0.25">
      <c r="A214" s="1255" t="str">
        <f t="shared" si="67"/>
        <v>11</v>
      </c>
      <c r="B214" s="1255"/>
      <c r="C214" s="1215">
        <v>817600.11</v>
      </c>
      <c r="D214" s="1216" t="s">
        <v>732</v>
      </c>
      <c r="E214" s="1217">
        <f>חינוך!I214</f>
        <v>200186</v>
      </c>
      <c r="F214" s="1217">
        <v>154068</v>
      </c>
      <c r="G214" s="1217">
        <f>F214/10*2</f>
        <v>30813.599999999999</v>
      </c>
      <c r="H214" s="1217">
        <f t="shared" si="65"/>
        <v>184881.6</v>
      </c>
      <c r="I214" s="1217">
        <v>135000</v>
      </c>
      <c r="J214" s="1217">
        <v>137151</v>
      </c>
      <c r="K214" s="1217">
        <f>חינוך!K214</f>
        <v>235321</v>
      </c>
      <c r="P214" s="1217">
        <f>שכר!AG305</f>
        <v>120475.90000000001</v>
      </c>
      <c r="Q214" s="1217">
        <v>228713</v>
      </c>
      <c r="R214" s="1217">
        <f>שכר!AM305</f>
        <v>164983.7046</v>
      </c>
      <c r="S214" s="1217">
        <f t="shared" ref="S214" si="71">R214*1.02</f>
        <v>168283.378692</v>
      </c>
      <c r="W214" s="1217">
        <f>חינוך!AH214</f>
        <v>0</v>
      </c>
      <c r="X214" s="961"/>
      <c r="Y214" s="81"/>
      <c r="Z214" s="81"/>
      <c r="AA214" s="81"/>
      <c r="AB214" s="81"/>
      <c r="AC214" s="1212">
        <f t="shared" si="43"/>
        <v>100321</v>
      </c>
      <c r="AD214" s="81" t="str">
        <f t="shared" si="47"/>
        <v>8176</v>
      </c>
      <c r="AG214" s="81"/>
    </row>
    <row r="215" spans="1:33" ht="15.6" customHeight="1" x14ac:dyDescent="0.25">
      <c r="A215" s="1255" t="str">
        <f t="shared" si="67"/>
        <v>41</v>
      </c>
      <c r="B215" s="1255"/>
      <c r="C215" s="1210">
        <v>817600.41</v>
      </c>
      <c r="D215" s="689" t="s">
        <v>733</v>
      </c>
      <c r="E215" s="610">
        <f>3000*12</f>
        <v>36000</v>
      </c>
      <c r="F215" s="610">
        <v>15000</v>
      </c>
      <c r="G215" s="667">
        <f>F215/11</f>
        <v>1363.6363636363637</v>
      </c>
      <c r="H215" s="667">
        <f t="shared" si="65"/>
        <v>16363.636363636364</v>
      </c>
      <c r="I215" s="610">
        <v>0</v>
      </c>
      <c r="J215" s="610">
        <v>0</v>
      </c>
      <c r="K215" s="610">
        <f>J215*2</f>
        <v>0</v>
      </c>
      <c r="P215" s="608">
        <v>0</v>
      </c>
      <c r="Q215" s="608">
        <f>P215/9*12</f>
        <v>0</v>
      </c>
      <c r="R215" s="608">
        <v>0</v>
      </c>
      <c r="S215" s="608">
        <f>R215</f>
        <v>0</v>
      </c>
      <c r="W215" s="610">
        <v>0</v>
      </c>
      <c r="X215" s="961"/>
      <c r="Y215" s="81"/>
      <c r="Z215" s="1212"/>
      <c r="AA215" s="1213"/>
      <c r="AB215" s="81"/>
      <c r="AC215" s="1212">
        <f t="shared" si="43"/>
        <v>0</v>
      </c>
      <c r="AG215" s="1213"/>
    </row>
    <row r="216" spans="1:33" ht="15.6" customHeight="1" x14ac:dyDescent="0.25">
      <c r="A216" s="1255" t="str">
        <f t="shared" si="67"/>
        <v>43</v>
      </c>
      <c r="B216" s="1255"/>
      <c r="C216" s="1210">
        <v>817600.43</v>
      </c>
      <c r="D216" s="689" t="s">
        <v>734</v>
      </c>
      <c r="E216" s="667">
        <v>3000</v>
      </c>
      <c r="F216" s="667">
        <v>0</v>
      </c>
      <c r="G216" s="667">
        <f>F216/11</f>
        <v>0</v>
      </c>
      <c r="H216" s="667">
        <f t="shared" si="65"/>
        <v>0</v>
      </c>
      <c r="I216" s="667">
        <v>3000</v>
      </c>
      <c r="J216" s="667">
        <v>0</v>
      </c>
      <c r="K216" s="610">
        <v>3000</v>
      </c>
      <c r="P216" s="608">
        <v>0</v>
      </c>
      <c r="Q216" s="608">
        <f>P216/9*12</f>
        <v>0</v>
      </c>
      <c r="R216" s="608">
        <v>0</v>
      </c>
      <c r="S216" s="608">
        <f>R216</f>
        <v>0</v>
      </c>
      <c r="W216" s="667">
        <v>3000</v>
      </c>
      <c r="X216" s="961"/>
      <c r="Y216" s="81">
        <v>3000</v>
      </c>
      <c r="Z216" s="1212"/>
      <c r="AA216" s="81"/>
      <c r="AB216" s="1213"/>
      <c r="AC216" s="1212">
        <f t="shared" si="43"/>
        <v>0</v>
      </c>
      <c r="AG216" s="81"/>
    </row>
    <row r="217" spans="1:33" ht="15.6" customHeight="1" x14ac:dyDescent="0.25">
      <c r="A217" s="1255" t="str">
        <f t="shared" si="67"/>
        <v>72</v>
      </c>
      <c r="B217" s="1255"/>
      <c r="C217" s="1210">
        <v>817600.72</v>
      </c>
      <c r="D217" s="689" t="s">
        <v>735</v>
      </c>
      <c r="E217" s="667">
        <f>1800*12</f>
        <v>21600</v>
      </c>
      <c r="F217" s="667">
        <f>15400+4300</f>
        <v>19700</v>
      </c>
      <c r="G217" s="667">
        <f>F217/11</f>
        <v>1790.909090909091</v>
      </c>
      <c r="H217" s="667">
        <f t="shared" si="65"/>
        <v>21490.909090909092</v>
      </c>
      <c r="I217" s="667">
        <v>21600</v>
      </c>
      <c r="J217" s="667">
        <v>1000</v>
      </c>
      <c r="K217" s="610">
        <v>21600</v>
      </c>
      <c r="P217" s="608">
        <v>11900</v>
      </c>
      <c r="Q217" s="608">
        <f>15988+7500</f>
        <v>23488</v>
      </c>
      <c r="R217" s="608">
        <v>16000</v>
      </c>
      <c r="S217" s="608">
        <f>R217</f>
        <v>16000</v>
      </c>
      <c r="W217" s="667">
        <v>21600</v>
      </c>
      <c r="X217" s="961"/>
      <c r="Y217" s="81">
        <f>1800*12</f>
        <v>21600</v>
      </c>
      <c r="Z217" s="1212"/>
      <c r="AA217" s="1213"/>
      <c r="AB217" s="1213"/>
      <c r="AC217" s="1212">
        <f t="shared" ref="AC217:AC283" si="72">K217-I217</f>
        <v>0</v>
      </c>
      <c r="AG217" s="1213"/>
    </row>
    <row r="218" spans="1:33" ht="15.6" customHeight="1" x14ac:dyDescent="0.25">
      <c r="A218" s="1255" t="str">
        <f t="shared" si="67"/>
        <v>11</v>
      </c>
      <c r="B218" s="1255"/>
      <c r="C218" s="1265">
        <v>817700.11</v>
      </c>
      <c r="D218" s="1266" t="s">
        <v>736</v>
      </c>
      <c r="E218" s="1267">
        <f>חינוך!I217</f>
        <v>68200</v>
      </c>
      <c r="F218" s="1217">
        <v>57395</v>
      </c>
      <c r="G218" s="1217">
        <f>F218/10*2</f>
        <v>11479</v>
      </c>
      <c r="H218" s="1217">
        <f t="shared" si="65"/>
        <v>68874</v>
      </c>
      <c r="I218" s="1217">
        <v>130000</v>
      </c>
      <c r="J218" s="1217">
        <v>36414</v>
      </c>
      <c r="K218" s="1217">
        <f>חינוך!K217</f>
        <v>103200</v>
      </c>
      <c r="L218" s="1209"/>
      <c r="M218" s="1209"/>
      <c r="N218" s="1209"/>
      <c r="O218" s="1209"/>
      <c r="P218" s="1217">
        <f>שכר!AG308</f>
        <v>54261.06</v>
      </c>
      <c r="Q218" s="1217">
        <v>84714</v>
      </c>
      <c r="R218" s="1217">
        <f>שכר!AM308</f>
        <v>132408.01500000001</v>
      </c>
      <c r="S218" s="1217">
        <f t="shared" ref="S218:S219" si="73">R218*1.02</f>
        <v>135056.1753</v>
      </c>
      <c r="W218" s="1217">
        <f>חינוך!AH217</f>
        <v>0</v>
      </c>
      <c r="X218" s="961"/>
      <c r="Y218" s="81"/>
      <c r="Z218" s="1212"/>
      <c r="AA218" s="1213"/>
      <c r="AB218" s="1213"/>
      <c r="AC218" s="1212">
        <f t="shared" si="72"/>
        <v>-26800</v>
      </c>
      <c r="AD218" s="81" t="str">
        <f t="shared" si="47"/>
        <v>8177</v>
      </c>
      <c r="AG218" s="1213"/>
    </row>
    <row r="219" spans="1:33" s="1209" customFormat="1" ht="15.6" customHeight="1" x14ac:dyDescent="0.25">
      <c r="A219" s="1255" t="str">
        <f t="shared" si="67"/>
        <v>11</v>
      </c>
      <c r="B219" s="1255"/>
      <c r="C219" s="1215">
        <v>817800.11</v>
      </c>
      <c r="D219" s="1216" t="s">
        <v>737</v>
      </c>
      <c r="E219" s="1217">
        <f>חינוך!I219</f>
        <v>40442</v>
      </c>
      <c r="F219" s="1217">
        <v>34825</v>
      </c>
      <c r="G219" s="1217">
        <f>F219/10*2</f>
        <v>6965</v>
      </c>
      <c r="H219" s="1217">
        <f t="shared" si="65"/>
        <v>41790</v>
      </c>
      <c r="I219" s="1217">
        <v>50000</v>
      </c>
      <c r="J219" s="1217">
        <v>145065</v>
      </c>
      <c r="K219" s="1217">
        <f>חינוך!K219</f>
        <v>172000</v>
      </c>
      <c r="P219" s="1217">
        <f>שכר!AG327</f>
        <v>148935.19999999998</v>
      </c>
      <c r="Q219" s="1217">
        <v>212105</v>
      </c>
      <c r="R219" s="1217">
        <f>שכר!AM327</f>
        <v>249000</v>
      </c>
      <c r="S219" s="1217">
        <f t="shared" si="73"/>
        <v>253980</v>
      </c>
      <c r="W219" s="1217">
        <f>חינוך!AH219</f>
        <v>0</v>
      </c>
      <c r="X219" s="961"/>
      <c r="Y219" s="81"/>
      <c r="Z219" s="1212"/>
      <c r="AA219" s="81"/>
      <c r="AB219" s="1213"/>
      <c r="AC219" s="1212">
        <f t="shared" si="72"/>
        <v>122000</v>
      </c>
      <c r="AD219" s="81" t="str">
        <f t="shared" si="47"/>
        <v>8178</v>
      </c>
      <c r="AG219" s="81"/>
    </row>
    <row r="220" spans="1:33" ht="15.6" customHeight="1" x14ac:dyDescent="0.25">
      <c r="A220" s="1255" t="str">
        <f t="shared" si="67"/>
        <v>78</v>
      </c>
      <c r="B220" s="1255"/>
      <c r="C220" s="1268">
        <v>817610.78</v>
      </c>
      <c r="D220" s="1269" t="s">
        <v>738</v>
      </c>
      <c r="E220" s="718">
        <f>67600+80000</f>
        <v>147600</v>
      </c>
      <c r="F220" s="610">
        <v>67600</v>
      </c>
      <c r="G220" s="667">
        <f>F220/11+73000</f>
        <v>79145.454545454544</v>
      </c>
      <c r="H220" s="667">
        <f t="shared" si="65"/>
        <v>146745.45454545453</v>
      </c>
      <c r="I220" s="610">
        <v>147600</v>
      </c>
      <c r="J220" s="610">
        <v>27000</v>
      </c>
      <c r="K220" s="610">
        <f>J220*2</f>
        <v>54000</v>
      </c>
      <c r="P220" s="608">
        <v>27000</v>
      </c>
      <c r="Q220" s="608">
        <v>27000</v>
      </c>
      <c r="R220" s="608">
        <f>264262-R219</f>
        <v>15262</v>
      </c>
      <c r="S220" s="608">
        <f t="shared" ref="S220:S228" si="74">R220</f>
        <v>15262</v>
      </c>
      <c r="W220" s="610">
        <v>70000</v>
      </c>
      <c r="X220" s="961"/>
      <c r="Y220" s="81"/>
      <c r="Z220" s="1212"/>
      <c r="AA220" s="1213"/>
      <c r="AB220" s="81"/>
      <c r="AC220" s="1212">
        <f t="shared" si="72"/>
        <v>-93600</v>
      </c>
      <c r="AG220" s="1213"/>
    </row>
    <row r="221" spans="1:33" ht="15.6" customHeight="1" x14ac:dyDescent="0.25">
      <c r="A221" s="1255" t="str">
        <f t="shared" si="67"/>
        <v>71</v>
      </c>
      <c r="B221" s="1255"/>
      <c r="C221" s="1210">
        <v>817800.71</v>
      </c>
      <c r="D221" s="1237" t="s">
        <v>739</v>
      </c>
      <c r="E221" s="667">
        <v>1476000</v>
      </c>
      <c r="F221" s="667">
        <v>1027046</v>
      </c>
      <c r="G221" s="667">
        <f>F221/11+160000+195000</f>
        <v>448367.81818181818</v>
      </c>
      <c r="H221" s="667">
        <f t="shared" si="65"/>
        <v>1475413.8181818181</v>
      </c>
      <c r="I221" s="667">
        <v>1476000</v>
      </c>
      <c r="J221" s="667">
        <v>632108</v>
      </c>
      <c r="K221" s="610">
        <f>1476000+240000</f>
        <v>1716000</v>
      </c>
      <c r="P221" s="608">
        <v>774286</v>
      </c>
      <c r="Q221" s="608">
        <v>1270848</v>
      </c>
      <c r="R221" s="608">
        <v>1271000</v>
      </c>
      <c r="S221" s="608">
        <f t="shared" si="74"/>
        <v>1271000</v>
      </c>
      <c r="W221" s="1270">
        <v>1476000</v>
      </c>
      <c r="X221" s="961"/>
      <c r="Y221" s="81">
        <v>1476000</v>
      </c>
      <c r="Z221" s="1212"/>
      <c r="AA221" s="1213"/>
      <c r="AB221" s="81"/>
      <c r="AC221" s="1212">
        <f t="shared" si="72"/>
        <v>240000</v>
      </c>
      <c r="AG221" s="1213"/>
    </row>
    <row r="222" spans="1:33" ht="15.6" customHeight="1" x14ac:dyDescent="0.25">
      <c r="A222" s="1255" t="str">
        <f t="shared" si="67"/>
        <v>11</v>
      </c>
      <c r="B222" s="1255"/>
      <c r="C222" s="1210">
        <v>817800.71100000001</v>
      </c>
      <c r="D222" s="1237" t="s">
        <v>740</v>
      </c>
      <c r="E222" s="667">
        <v>1430000</v>
      </c>
      <c r="F222" s="667">
        <v>804865</v>
      </c>
      <c r="G222" s="667">
        <f>F222/11+120000+120000+150000+161000</f>
        <v>624169.54545454541</v>
      </c>
      <c r="H222" s="667">
        <f t="shared" si="65"/>
        <v>1429034.5454545454</v>
      </c>
      <c r="I222" s="667">
        <f>1430000+63000</f>
        <v>1493000</v>
      </c>
      <c r="J222" s="667">
        <v>671379</v>
      </c>
      <c r="K222" s="610">
        <f>1493000+150000</f>
        <v>1643000</v>
      </c>
      <c r="L222" s="1209"/>
      <c r="M222" s="1209"/>
      <c r="N222" s="1209"/>
      <c r="O222" s="1209"/>
      <c r="P222" s="608">
        <v>953562</v>
      </c>
      <c r="Q222" s="608">
        <v>1546623</v>
      </c>
      <c r="R222" s="608">
        <v>1546000</v>
      </c>
      <c r="S222" s="608">
        <f t="shared" si="74"/>
        <v>1546000</v>
      </c>
      <c r="W222" s="1270">
        <v>1493000</v>
      </c>
      <c r="X222" s="961"/>
      <c r="Y222" s="81">
        <v>1493000</v>
      </c>
      <c r="Z222" s="1212"/>
      <c r="AA222" s="1213"/>
      <c r="AB222" s="1213"/>
      <c r="AC222" s="1212">
        <f t="shared" si="72"/>
        <v>150000</v>
      </c>
      <c r="AG222" s="1213"/>
    </row>
    <row r="223" spans="1:33" ht="15.6" customHeight="1" x14ac:dyDescent="0.25">
      <c r="A223" s="1255" t="str">
        <f t="shared" si="67"/>
        <v>31</v>
      </c>
      <c r="B223" s="1255"/>
      <c r="C223" s="1210">
        <v>817900.43099999998</v>
      </c>
      <c r="D223" s="689" t="s">
        <v>741</v>
      </c>
      <c r="E223" s="667">
        <v>4200</v>
      </c>
      <c r="F223" s="610">
        <v>2553</v>
      </c>
      <c r="G223" s="667">
        <f t="shared" ref="G223:G228" si="75">F223/11</f>
        <v>232.09090909090909</v>
      </c>
      <c r="H223" s="667">
        <f t="shared" si="65"/>
        <v>2785.090909090909</v>
      </c>
      <c r="I223" s="667">
        <f>F223*2</f>
        <v>5106</v>
      </c>
      <c r="J223" s="667">
        <v>1256</v>
      </c>
      <c r="K223" s="610">
        <f>J223*2</f>
        <v>2512</v>
      </c>
      <c r="P223" s="608">
        <v>1653</v>
      </c>
      <c r="Q223" s="608">
        <v>1652</v>
      </c>
      <c r="R223" s="608">
        <v>2000</v>
      </c>
      <c r="S223" s="608">
        <f t="shared" si="74"/>
        <v>2000</v>
      </c>
      <c r="W223" s="667">
        <v>2596</v>
      </c>
      <c r="X223" s="961"/>
      <c r="Y223" s="81"/>
      <c r="Z223" s="81"/>
      <c r="AA223" s="81"/>
      <c r="AB223" s="81"/>
      <c r="AC223" s="1212">
        <f t="shared" si="72"/>
        <v>-2594</v>
      </c>
      <c r="AG223" s="81"/>
    </row>
    <row r="224" spans="1:33" ht="15.6" customHeight="1" x14ac:dyDescent="0.25">
      <c r="A224" s="1255" t="str">
        <f t="shared" si="67"/>
        <v>32</v>
      </c>
      <c r="B224" s="1255"/>
      <c r="C224" s="1210">
        <v>817900.43200000003</v>
      </c>
      <c r="D224" s="689" t="s">
        <v>742</v>
      </c>
      <c r="E224" s="667">
        <v>4000</v>
      </c>
      <c r="F224" s="610">
        <v>1976</v>
      </c>
      <c r="G224" s="667">
        <f t="shared" si="75"/>
        <v>179.63636363636363</v>
      </c>
      <c r="H224" s="667">
        <f t="shared" si="65"/>
        <v>2155.6363636363635</v>
      </c>
      <c r="I224" s="667">
        <v>4000</v>
      </c>
      <c r="J224" s="667">
        <v>0</v>
      </c>
      <c r="K224" s="610">
        <v>4000</v>
      </c>
      <c r="L224" s="1209"/>
      <c r="M224" s="1209"/>
      <c r="N224" s="1209"/>
      <c r="O224" s="1209"/>
      <c r="P224" s="608">
        <v>0</v>
      </c>
      <c r="Q224" s="608">
        <f>P224/9*12</f>
        <v>0</v>
      </c>
      <c r="R224" s="608">
        <v>0</v>
      </c>
      <c r="S224" s="608">
        <f t="shared" si="74"/>
        <v>0</v>
      </c>
      <c r="W224" s="667">
        <v>4000</v>
      </c>
      <c r="X224" s="961"/>
      <c r="Y224" s="81">
        <v>4000</v>
      </c>
      <c r="Z224" s="1212"/>
      <c r="AA224" s="81"/>
      <c r="AB224" s="1213"/>
      <c r="AC224" s="1212">
        <f t="shared" si="72"/>
        <v>0</v>
      </c>
      <c r="AG224" s="81"/>
    </row>
    <row r="225" spans="1:33" ht="15.6" customHeight="1" x14ac:dyDescent="0.25">
      <c r="A225" s="1255" t="str">
        <f t="shared" si="67"/>
        <v>54</v>
      </c>
      <c r="B225" s="1255"/>
      <c r="C225" s="1210">
        <v>817900.54</v>
      </c>
      <c r="D225" s="689" t="s">
        <v>743</v>
      </c>
      <c r="E225" s="667">
        <v>1500</v>
      </c>
      <c r="F225" s="610">
        <v>837</v>
      </c>
      <c r="G225" s="667">
        <f t="shared" si="75"/>
        <v>76.090909090909093</v>
      </c>
      <c r="H225" s="667">
        <f t="shared" si="65"/>
        <v>913.09090909090912</v>
      </c>
      <c r="I225" s="667">
        <v>1500</v>
      </c>
      <c r="J225" s="667">
        <v>384</v>
      </c>
      <c r="K225" s="610">
        <v>1500</v>
      </c>
      <c r="P225" s="608">
        <v>522</v>
      </c>
      <c r="Q225" s="608">
        <v>690</v>
      </c>
      <c r="R225" s="608">
        <v>1000</v>
      </c>
      <c r="S225" s="608">
        <f t="shared" si="74"/>
        <v>1000</v>
      </c>
      <c r="W225" s="667">
        <v>1500</v>
      </c>
      <c r="X225" s="961"/>
      <c r="Y225" s="81">
        <v>1500</v>
      </c>
      <c r="Z225" s="1212"/>
      <c r="AA225" s="1213"/>
      <c r="AB225" s="81"/>
      <c r="AC225" s="1212">
        <f t="shared" si="72"/>
        <v>0</v>
      </c>
      <c r="AG225" s="1213"/>
    </row>
    <row r="226" spans="1:33" ht="15.6" customHeight="1" x14ac:dyDescent="0.25">
      <c r="A226" s="1255" t="str">
        <f t="shared" si="67"/>
        <v>72</v>
      </c>
      <c r="B226" s="1255"/>
      <c r="C226" s="1210">
        <v>817900.72</v>
      </c>
      <c r="D226" s="689" t="s">
        <v>744</v>
      </c>
      <c r="E226" s="667">
        <v>14500</v>
      </c>
      <c r="F226" s="610">
        <v>29796</v>
      </c>
      <c r="G226" s="667">
        <f t="shared" si="75"/>
        <v>2708.7272727272725</v>
      </c>
      <c r="H226" s="667">
        <f t="shared" si="65"/>
        <v>32504.727272727272</v>
      </c>
      <c r="I226" s="610">
        <v>13500</v>
      </c>
      <c r="J226" s="610">
        <v>11525</v>
      </c>
      <c r="K226" s="610">
        <v>68500</v>
      </c>
      <c r="P226" s="608">
        <v>62730</v>
      </c>
      <c r="Q226" s="608">
        <v>62642</v>
      </c>
      <c r="R226" s="608">
        <v>70000</v>
      </c>
      <c r="S226" s="608">
        <f t="shared" si="74"/>
        <v>70000</v>
      </c>
      <c r="W226" s="610">
        <v>13500</v>
      </c>
      <c r="X226" s="961"/>
      <c r="Y226" s="81">
        <v>68500</v>
      </c>
      <c r="Z226" s="81"/>
      <c r="AA226" s="81"/>
      <c r="AB226" s="81"/>
      <c r="AC226" s="1212">
        <f t="shared" si="72"/>
        <v>55000</v>
      </c>
      <c r="AG226" s="81"/>
    </row>
    <row r="227" spans="1:33" ht="15.6" customHeight="1" x14ac:dyDescent="0.25">
      <c r="A227" s="1255" t="str">
        <f t="shared" si="67"/>
        <v>78</v>
      </c>
      <c r="B227" s="1255"/>
      <c r="C227" s="1236">
        <v>817900.78</v>
      </c>
      <c r="D227" s="1237" t="s">
        <v>1703</v>
      </c>
      <c r="E227" s="610">
        <v>17000</v>
      </c>
      <c r="F227" s="610">
        <v>0</v>
      </c>
      <c r="G227" s="667">
        <f t="shared" si="75"/>
        <v>0</v>
      </c>
      <c r="H227" s="667">
        <f t="shared" si="65"/>
        <v>0</v>
      </c>
      <c r="I227" s="610">
        <v>17000</v>
      </c>
      <c r="J227" s="610">
        <v>0</v>
      </c>
      <c r="K227" s="610">
        <v>17000</v>
      </c>
      <c r="P227" s="608">
        <v>0</v>
      </c>
      <c r="Q227" s="608">
        <f>P227/9*12</f>
        <v>0</v>
      </c>
      <c r="R227" s="608">
        <v>19000</v>
      </c>
      <c r="S227" s="608">
        <f t="shared" si="74"/>
        <v>19000</v>
      </c>
      <c r="W227" s="610">
        <v>17000</v>
      </c>
      <c r="X227" s="961"/>
      <c r="Y227" s="81">
        <v>17000</v>
      </c>
      <c r="Z227" s="1212"/>
      <c r="AA227" s="1213"/>
      <c r="AB227" s="1213"/>
      <c r="AC227" s="1212">
        <f t="shared" si="72"/>
        <v>0</v>
      </c>
      <c r="AG227" s="1213"/>
    </row>
    <row r="228" spans="1:33" ht="15.6" customHeight="1" x14ac:dyDescent="0.25">
      <c r="A228" s="1255" t="str">
        <f t="shared" si="67"/>
        <v>81</v>
      </c>
      <c r="B228" s="1255"/>
      <c r="C228" s="1236">
        <v>817900.78099999996</v>
      </c>
      <c r="D228" s="1237" t="s">
        <v>745</v>
      </c>
      <c r="E228" s="610">
        <v>19500</v>
      </c>
      <c r="F228" s="610">
        <v>18582</v>
      </c>
      <c r="G228" s="667">
        <f t="shared" si="75"/>
        <v>1689.2727272727273</v>
      </c>
      <c r="H228" s="667">
        <f t="shared" si="65"/>
        <v>20271.272727272728</v>
      </c>
      <c r="I228" s="610">
        <v>19500</v>
      </c>
      <c r="J228" s="610">
        <v>17735</v>
      </c>
      <c r="K228" s="610">
        <f>J228*2</f>
        <v>35470</v>
      </c>
      <c r="P228" s="608">
        <v>17735</v>
      </c>
      <c r="Q228" s="608">
        <v>17735</v>
      </c>
      <c r="R228" s="608">
        <v>24000</v>
      </c>
      <c r="S228" s="608">
        <f t="shared" si="74"/>
        <v>24000</v>
      </c>
      <c r="W228" s="610">
        <v>19500</v>
      </c>
      <c r="X228" s="961"/>
      <c r="Y228" s="81"/>
      <c r="Z228" s="1212"/>
      <c r="AA228" s="1213"/>
      <c r="AB228" s="1213"/>
      <c r="AC228" s="1212">
        <f t="shared" si="72"/>
        <v>15970</v>
      </c>
      <c r="AG228" s="1213"/>
    </row>
    <row r="229" spans="1:33" ht="15.6" customHeight="1" x14ac:dyDescent="0.25">
      <c r="A229" s="1255" t="str">
        <f t="shared" si="67"/>
        <v>11</v>
      </c>
      <c r="B229" s="1255"/>
      <c r="C229" s="1215">
        <v>817910.11</v>
      </c>
      <c r="D229" s="1216" t="s">
        <v>746</v>
      </c>
      <c r="E229" s="1217">
        <f>חינוך!I222</f>
        <v>139892</v>
      </c>
      <c r="F229" s="1217">
        <v>117277</v>
      </c>
      <c r="G229" s="1217">
        <f>F229/10*2</f>
        <v>23455.4</v>
      </c>
      <c r="H229" s="1217">
        <f t="shared" si="65"/>
        <v>140732.4</v>
      </c>
      <c r="I229" s="1217">
        <v>146000</v>
      </c>
      <c r="J229" s="1217">
        <v>78256</v>
      </c>
      <c r="K229" s="1217">
        <f>חינוך!K222</f>
        <v>140600</v>
      </c>
      <c r="P229" s="1217">
        <f>שכר!AG330</f>
        <v>115360.10999999999</v>
      </c>
      <c r="Q229" s="1217">
        <v>150482</v>
      </c>
      <c r="R229" s="1217">
        <f>שכר!AM330</f>
        <v>153222.18659999999</v>
      </c>
      <c r="S229" s="1217">
        <f t="shared" ref="S229" si="76">R229*1.02</f>
        <v>156286.630332</v>
      </c>
      <c r="T229" s="1217" t="e">
        <f>שכר!#REF!</f>
        <v>#REF!</v>
      </c>
      <c r="U229" s="1217" t="e">
        <f>שכר!#REF!</f>
        <v>#REF!</v>
      </c>
      <c r="V229" s="1217" t="e">
        <f>שכר!#REF!</f>
        <v>#REF!</v>
      </c>
      <c r="W229" s="1217" t="e">
        <f>שכר!#REF!</f>
        <v>#REF!</v>
      </c>
      <c r="X229" s="1217" t="e">
        <f>שכר!#REF!</f>
        <v>#REF!</v>
      </c>
      <c r="Y229" s="1217" t="e">
        <f>שכר!#REF!</f>
        <v>#REF!</v>
      </c>
      <c r="Z229" s="1217" t="e">
        <f>שכר!#REF!</f>
        <v>#REF!</v>
      </c>
      <c r="AA229" s="1217" t="e">
        <f>שכר!#REF!</f>
        <v>#REF!</v>
      </c>
      <c r="AB229" s="1217" t="e">
        <f>שכר!#REF!</f>
        <v>#REF!</v>
      </c>
      <c r="AC229" s="1217" t="e">
        <f>שכר!#REF!</f>
        <v>#REF!</v>
      </c>
      <c r="AD229" s="81" t="str">
        <f t="shared" ref="AD229:AD283" si="77">LEFT(C229,4)</f>
        <v>8179</v>
      </c>
      <c r="AG229" s="1213"/>
    </row>
    <row r="230" spans="1:33" ht="15.6" customHeight="1" x14ac:dyDescent="0.25">
      <c r="A230" s="1255" t="str">
        <f t="shared" si="67"/>
        <v>41</v>
      </c>
      <c r="B230" s="1255"/>
      <c r="C230" s="1210">
        <v>817900.41</v>
      </c>
      <c r="D230" s="689" t="s">
        <v>747</v>
      </c>
      <c r="E230" s="667">
        <v>24000</v>
      </c>
      <c r="F230" s="1263">
        <v>22000</v>
      </c>
      <c r="G230" s="667">
        <f>F230/11</f>
        <v>2000</v>
      </c>
      <c r="H230" s="667">
        <f t="shared" si="65"/>
        <v>24000</v>
      </c>
      <c r="I230" s="667">
        <v>36000</v>
      </c>
      <c r="J230" s="667">
        <v>12000</v>
      </c>
      <c r="K230" s="667">
        <f>J230*2</f>
        <v>24000</v>
      </c>
      <c r="P230" s="608">
        <v>18000</v>
      </c>
      <c r="Q230" s="608">
        <f>P230/9*12</f>
        <v>24000</v>
      </c>
      <c r="R230" s="608">
        <v>24000</v>
      </c>
      <c r="S230" s="608">
        <f>R230</f>
        <v>24000</v>
      </c>
      <c r="W230" s="667">
        <v>36000</v>
      </c>
      <c r="X230" s="961"/>
      <c r="Y230" s="81"/>
      <c r="Z230" s="1212"/>
      <c r="AA230" s="1213"/>
      <c r="AB230" s="1213"/>
      <c r="AC230" s="1212">
        <f t="shared" si="72"/>
        <v>-12000</v>
      </c>
      <c r="AG230" s="1213"/>
    </row>
    <row r="231" spans="1:33" ht="15.6" customHeight="1" x14ac:dyDescent="0.25">
      <c r="A231" s="1255" t="str">
        <f t="shared" si="67"/>
        <v>17</v>
      </c>
      <c r="B231" s="1255"/>
      <c r="C231" s="1231" t="s">
        <v>748</v>
      </c>
      <c r="D231" s="1232" t="s">
        <v>749</v>
      </c>
      <c r="E231" s="1259">
        <f t="shared" ref="E231:S231" si="78">SUM(E200:E230)</f>
        <v>5370819</v>
      </c>
      <c r="F231" s="1259">
        <f t="shared" si="78"/>
        <v>3764491</v>
      </c>
      <c r="G231" s="1259">
        <f t="shared" si="78"/>
        <v>1523409.3090909088</v>
      </c>
      <c r="H231" s="1259">
        <f t="shared" si="78"/>
        <v>5287900.3090909105</v>
      </c>
      <c r="I231" s="1259">
        <f t="shared" si="78"/>
        <v>5706301.3263999997</v>
      </c>
      <c r="J231" s="1259">
        <f t="shared" si="78"/>
        <v>2760810</v>
      </c>
      <c r="K231" s="1259">
        <f t="shared" si="78"/>
        <v>6219239</v>
      </c>
      <c r="L231" s="1259">
        <f t="shared" si="78"/>
        <v>0</v>
      </c>
      <c r="M231" s="1259">
        <f t="shared" si="78"/>
        <v>0</v>
      </c>
      <c r="N231" s="1259">
        <f t="shared" si="78"/>
        <v>0</v>
      </c>
      <c r="O231" s="1260">
        <f t="shared" si="78"/>
        <v>0</v>
      </c>
      <c r="P231" s="1259">
        <f t="shared" si="78"/>
        <v>3767672.5399999996</v>
      </c>
      <c r="Q231" s="1259">
        <f t="shared" si="78"/>
        <v>5649043</v>
      </c>
      <c r="R231" s="1259">
        <f t="shared" si="78"/>
        <v>5718273.4495999999</v>
      </c>
      <c r="S231" s="1259">
        <f t="shared" si="78"/>
        <v>5749338.6785920002</v>
      </c>
      <c r="T231" s="1261" t="e">
        <f t="shared" ref="T231:AC231" si="79">SUM(T200:T230)</f>
        <v>#REF!</v>
      </c>
      <c r="U231" s="1259" t="e">
        <f t="shared" si="79"/>
        <v>#REF!</v>
      </c>
      <c r="V231" s="1259" t="e">
        <f t="shared" si="79"/>
        <v>#REF!</v>
      </c>
      <c r="W231" s="1259" t="e">
        <f t="shared" si="79"/>
        <v>#REF!</v>
      </c>
      <c r="X231" s="1259" t="e">
        <f t="shared" si="79"/>
        <v>#REF!</v>
      </c>
      <c r="Y231" s="1259" t="e">
        <f t="shared" si="79"/>
        <v>#REF!</v>
      </c>
      <c r="Z231" s="1259" t="e">
        <f t="shared" si="79"/>
        <v>#REF!</v>
      </c>
      <c r="AA231" s="1259" t="e">
        <f t="shared" si="79"/>
        <v>#REF!</v>
      </c>
      <c r="AB231" s="1259" t="e">
        <f t="shared" si="79"/>
        <v>#REF!</v>
      </c>
      <c r="AC231" s="1259" t="e">
        <f t="shared" si="79"/>
        <v>#REF!</v>
      </c>
      <c r="AD231" s="81" t="str">
        <f t="shared" si="77"/>
        <v>סה"כ</v>
      </c>
      <c r="AG231" s="1213"/>
    </row>
    <row r="232" spans="1:33" ht="15.6" customHeight="1" x14ac:dyDescent="0.25">
      <c r="A232" s="1255" t="str">
        <f t="shared" si="67"/>
        <v/>
      </c>
      <c r="B232" s="1255"/>
      <c r="C232" s="1210"/>
      <c r="D232" s="1246"/>
      <c r="E232" s="667"/>
      <c r="F232" s="1263"/>
      <c r="G232" s="667"/>
      <c r="H232" s="667"/>
      <c r="I232" s="667"/>
      <c r="J232" s="667"/>
      <c r="K232" s="667"/>
      <c r="P232" s="608"/>
      <c r="Q232" s="608"/>
      <c r="R232" s="608"/>
      <c r="S232" s="608"/>
      <c r="W232" s="667"/>
      <c r="X232" s="961"/>
      <c r="Y232" s="81"/>
      <c r="Z232" s="81"/>
      <c r="AA232" s="81"/>
      <c r="AB232" s="81"/>
      <c r="AC232" s="1212">
        <f t="shared" si="72"/>
        <v>0</v>
      </c>
      <c r="AD232" s="81" t="str">
        <f t="shared" si="77"/>
        <v/>
      </c>
      <c r="AG232" s="81"/>
    </row>
    <row r="233" spans="1:33" ht="15.6" customHeight="1" x14ac:dyDescent="0.25">
      <c r="A233" s="1255" t="str">
        <f t="shared" si="67"/>
        <v>81</v>
      </c>
      <c r="B233" s="1255"/>
      <c r="C233" s="1210">
        <v>818810.81</v>
      </c>
      <c r="D233" s="689" t="s">
        <v>750</v>
      </c>
      <c r="E233" s="667">
        <f>17800*2</f>
        <v>35600</v>
      </c>
      <c r="F233" s="1263">
        <v>35720</v>
      </c>
      <c r="G233" s="667">
        <f>F233/11</f>
        <v>3247.2727272727275</v>
      </c>
      <c r="H233" s="667">
        <f>F233+G233</f>
        <v>38967.272727272728</v>
      </c>
      <c r="I233" s="667">
        <v>35600</v>
      </c>
      <c r="J233" s="667">
        <v>0</v>
      </c>
      <c r="K233" s="667">
        <v>35600</v>
      </c>
      <c r="P233" s="608">
        <v>18000</v>
      </c>
      <c r="Q233" s="608">
        <v>18000</v>
      </c>
      <c r="R233" s="608">
        <v>24000</v>
      </c>
      <c r="S233" s="608">
        <f>R233</f>
        <v>24000</v>
      </c>
      <c r="W233" s="667">
        <v>35600</v>
      </c>
      <c r="X233" s="961"/>
      <c r="Y233" s="81">
        <v>35600</v>
      </c>
      <c r="Z233" s="1212"/>
      <c r="AA233" s="1213"/>
      <c r="AB233" s="1213"/>
      <c r="AC233" s="1212">
        <f t="shared" si="72"/>
        <v>0</v>
      </c>
      <c r="AG233" s="1213"/>
    </row>
    <row r="234" spans="1:33" ht="15.6" customHeight="1" x14ac:dyDescent="0.25">
      <c r="A234" s="1255" t="str">
        <f t="shared" si="67"/>
        <v>78</v>
      </c>
      <c r="B234" s="1255"/>
      <c r="C234" s="1210">
        <v>813800.78</v>
      </c>
      <c r="D234" s="689" t="s">
        <v>3290</v>
      </c>
      <c r="E234" s="667">
        <v>276200</v>
      </c>
      <c r="F234" s="1263">
        <v>276200</v>
      </c>
      <c r="G234" s="667">
        <f>F234/11</f>
        <v>25109.090909090908</v>
      </c>
      <c r="H234" s="667">
        <f>F234+G234</f>
        <v>301309.09090909088</v>
      </c>
      <c r="I234" s="610">
        <v>276200</v>
      </c>
      <c r="J234" s="610">
        <v>0</v>
      </c>
      <c r="K234" s="610">
        <v>380520</v>
      </c>
      <c r="P234" s="608">
        <v>380520</v>
      </c>
      <c r="Q234" s="608">
        <v>380520</v>
      </c>
      <c r="R234" s="608">
        <f>396000+30000</f>
        <v>426000</v>
      </c>
      <c r="S234" s="608">
        <f>R234</f>
        <v>426000</v>
      </c>
      <c r="W234" s="610">
        <v>276200</v>
      </c>
      <c r="X234" s="961"/>
      <c r="Y234" s="81">
        <v>380520</v>
      </c>
      <c r="Z234" s="1212"/>
      <c r="AA234" s="81"/>
      <c r="AB234" s="1213"/>
      <c r="AC234" s="1212">
        <f t="shared" si="72"/>
        <v>104320</v>
      </c>
      <c r="AG234" s="81"/>
    </row>
    <row r="235" spans="1:33" ht="15.6" customHeight="1" x14ac:dyDescent="0.25">
      <c r="A235" s="1255" t="str">
        <f t="shared" si="67"/>
        <v>81</v>
      </c>
      <c r="B235" s="1255"/>
      <c r="C235" s="1210">
        <v>813800.78099999996</v>
      </c>
      <c r="D235" s="689" t="s">
        <v>3251</v>
      </c>
      <c r="E235" s="667"/>
      <c r="F235" s="1263"/>
      <c r="G235" s="667"/>
      <c r="H235" s="667"/>
      <c r="I235" s="610"/>
      <c r="J235" s="610"/>
      <c r="K235" s="610"/>
      <c r="P235" s="608"/>
      <c r="Q235" s="608"/>
      <c r="R235" s="608">
        <v>600000</v>
      </c>
      <c r="S235" s="608">
        <v>600000</v>
      </c>
      <c r="W235" s="610"/>
      <c r="X235" s="961"/>
      <c r="Y235" s="81"/>
      <c r="Z235" s="1212"/>
      <c r="AA235" s="81"/>
      <c r="AB235" s="1213"/>
      <c r="AC235" s="1212"/>
      <c r="AG235" s="81"/>
    </row>
    <row r="236" spans="1:33" ht="15.6" customHeight="1" x14ac:dyDescent="0.25">
      <c r="A236" s="1255" t="str">
        <f t="shared" si="67"/>
        <v>11</v>
      </c>
      <c r="B236" s="1255"/>
      <c r="C236" s="1215">
        <v>819000.11</v>
      </c>
      <c r="D236" s="1216" t="s">
        <v>752</v>
      </c>
      <c r="E236" s="1217">
        <f>חינוך!I226</f>
        <v>411187</v>
      </c>
      <c r="F236" s="1217">
        <v>354087</v>
      </c>
      <c r="G236" s="1217">
        <f>F236/10*2</f>
        <v>70817.399999999994</v>
      </c>
      <c r="H236" s="1217">
        <f>F236+G236</f>
        <v>424904.4</v>
      </c>
      <c r="I236" s="1217">
        <v>377000</v>
      </c>
      <c r="J236" s="1217">
        <v>207566</v>
      </c>
      <c r="K236" s="1217">
        <f>חינוך!K226</f>
        <v>413000</v>
      </c>
      <c r="P236" s="1217">
        <f>שכר!AG334</f>
        <v>331396.24</v>
      </c>
      <c r="Q236" s="1217">
        <v>443533</v>
      </c>
      <c r="R236" s="1217">
        <f>שכר!AM334</f>
        <v>466605.79320000007</v>
      </c>
      <c r="S236" s="1217">
        <f t="shared" ref="S236" si="80">R236*1.02</f>
        <v>475937.90906400006</v>
      </c>
      <c r="W236" s="1217">
        <f>חינוך!AH226</f>
        <v>0</v>
      </c>
      <c r="X236" s="961"/>
      <c r="Y236" s="81"/>
      <c r="Z236" s="81"/>
      <c r="AA236" s="81"/>
      <c r="AB236" s="81"/>
      <c r="AC236" s="1212">
        <f t="shared" si="72"/>
        <v>36000</v>
      </c>
      <c r="AD236" s="81" t="str">
        <f t="shared" si="77"/>
        <v>8190</v>
      </c>
      <c r="AG236" s="81"/>
    </row>
    <row r="237" spans="1:33" ht="15.6" customHeight="1" x14ac:dyDescent="0.25">
      <c r="A237" s="1255" t="str">
        <f t="shared" si="67"/>
        <v>78</v>
      </c>
      <c r="B237" s="1255"/>
      <c r="C237" s="1236">
        <v>819000.78</v>
      </c>
      <c r="D237" s="1237" t="s">
        <v>753</v>
      </c>
      <c r="E237" s="610">
        <v>60000</v>
      </c>
      <c r="F237" s="610">
        <v>44998</v>
      </c>
      <c r="G237" s="667">
        <f>F237/11</f>
        <v>4090.7272727272725</v>
      </c>
      <c r="H237" s="667">
        <f>F237+G237</f>
        <v>49088.727272727272</v>
      </c>
      <c r="I237" s="610">
        <v>60000</v>
      </c>
      <c r="J237" s="610">
        <v>30000</v>
      </c>
      <c r="K237" s="610">
        <f>J237*2</f>
        <v>60000</v>
      </c>
      <c r="P237" s="608">
        <v>39998</v>
      </c>
      <c r="Q237" s="608">
        <v>93598</v>
      </c>
      <c r="R237" s="608">
        <v>53000</v>
      </c>
      <c r="S237" s="608">
        <f>R237</f>
        <v>53000</v>
      </c>
      <c r="W237" s="610">
        <v>60000</v>
      </c>
      <c r="X237" s="961"/>
      <c r="Y237" s="81"/>
      <c r="Z237" s="1212"/>
      <c r="AA237" s="1213"/>
      <c r="AB237" s="1213"/>
      <c r="AC237" s="1212">
        <f t="shared" si="72"/>
        <v>0</v>
      </c>
      <c r="AG237" s="1213"/>
    </row>
    <row r="238" spans="1:33" ht="14.25" customHeight="1" x14ac:dyDescent="0.25">
      <c r="A238" s="1255" t="str">
        <f t="shared" si="67"/>
        <v>19</v>
      </c>
      <c r="B238" s="1255"/>
      <c r="C238" s="1231" t="s">
        <v>754</v>
      </c>
      <c r="D238" s="1232" t="s">
        <v>755</v>
      </c>
      <c r="E238" s="1259">
        <f t="shared" ref="E238:S238" si="81">SUM(E233:E237)</f>
        <v>782987</v>
      </c>
      <c r="F238" s="1259">
        <f t="shared" si="81"/>
        <v>711005</v>
      </c>
      <c r="G238" s="1259">
        <f t="shared" si="81"/>
        <v>103264.49090909091</v>
      </c>
      <c r="H238" s="1259">
        <f t="shared" si="81"/>
        <v>814269.49090909096</v>
      </c>
      <c r="I238" s="1259">
        <f t="shared" si="81"/>
        <v>748800</v>
      </c>
      <c r="J238" s="1259">
        <f t="shared" si="81"/>
        <v>237566</v>
      </c>
      <c r="K238" s="1259">
        <f t="shared" si="81"/>
        <v>889120</v>
      </c>
      <c r="L238" s="1259">
        <f t="shared" si="81"/>
        <v>0</v>
      </c>
      <c r="M238" s="1259">
        <f t="shared" si="81"/>
        <v>0</v>
      </c>
      <c r="N238" s="1259">
        <f t="shared" si="81"/>
        <v>0</v>
      </c>
      <c r="O238" s="1260">
        <f t="shared" si="81"/>
        <v>0</v>
      </c>
      <c r="P238" s="1259">
        <f t="shared" si="81"/>
        <v>769914.24</v>
      </c>
      <c r="Q238" s="1259">
        <f t="shared" si="81"/>
        <v>935651</v>
      </c>
      <c r="R238" s="1259">
        <f t="shared" si="81"/>
        <v>1569605.7932000002</v>
      </c>
      <c r="S238" s="1259">
        <f t="shared" si="81"/>
        <v>1578937.909064</v>
      </c>
      <c r="T238" s="1261">
        <f t="shared" ref="T238:AC238" si="82">SUM(T233:T237)</f>
        <v>0</v>
      </c>
      <c r="U238" s="1259">
        <f t="shared" si="82"/>
        <v>0</v>
      </c>
      <c r="V238" s="1259">
        <f t="shared" si="82"/>
        <v>0</v>
      </c>
      <c r="W238" s="1259">
        <f t="shared" si="82"/>
        <v>371800</v>
      </c>
      <c r="X238" s="1259">
        <f t="shared" si="82"/>
        <v>0</v>
      </c>
      <c r="Y238" s="1259">
        <f t="shared" si="82"/>
        <v>416120</v>
      </c>
      <c r="Z238" s="1259">
        <f t="shared" si="82"/>
        <v>0</v>
      </c>
      <c r="AA238" s="1259">
        <f t="shared" si="82"/>
        <v>0</v>
      </c>
      <c r="AB238" s="1259">
        <f t="shared" si="82"/>
        <v>0</v>
      </c>
      <c r="AC238" s="1259">
        <f t="shared" si="82"/>
        <v>140320</v>
      </c>
      <c r="AD238" s="81" t="str">
        <f t="shared" si="77"/>
        <v>סה"כ</v>
      </c>
      <c r="AG238" s="81"/>
    </row>
    <row r="239" spans="1:33" ht="9" customHeight="1" x14ac:dyDescent="0.25">
      <c r="A239" s="1255" t="str">
        <f t="shared" si="67"/>
        <v/>
      </c>
      <c r="B239" s="1255"/>
      <c r="C239" s="1231"/>
      <c r="D239" s="1262"/>
      <c r="E239" s="1259"/>
      <c r="F239" s="1263"/>
      <c r="G239" s="667">
        <f>F239/9*3</f>
        <v>0</v>
      </c>
      <c r="H239" s="667"/>
      <c r="I239" s="1259"/>
      <c r="J239" s="1259"/>
      <c r="K239" s="1259"/>
      <c r="P239" s="608"/>
      <c r="Q239" s="608"/>
      <c r="R239" s="608"/>
      <c r="S239" s="608"/>
      <c r="W239" s="1259"/>
      <c r="X239" s="1264"/>
      <c r="Y239" s="81"/>
      <c r="Z239" s="1212"/>
      <c r="AA239" s="1213"/>
      <c r="AB239" s="1213"/>
      <c r="AC239" s="1212">
        <f t="shared" si="72"/>
        <v>0</v>
      </c>
      <c r="AD239" s="81" t="str">
        <f t="shared" si="77"/>
        <v/>
      </c>
      <c r="AG239" s="1213"/>
    </row>
    <row r="240" spans="1:33" s="1226" customFormat="1" ht="21.75" customHeight="1" x14ac:dyDescent="0.25">
      <c r="A240" s="1255" t="str">
        <f t="shared" si="67"/>
        <v xml:space="preserve">1 </v>
      </c>
      <c r="B240" s="1255"/>
      <c r="C240" s="1238" t="s">
        <v>756</v>
      </c>
      <c r="D240" s="1239" t="s">
        <v>47</v>
      </c>
      <c r="E240" s="695">
        <f t="shared" ref="E240:S240" si="83">E134+E164+E186+E195+E198+E231+E238</f>
        <v>20495138.439999998</v>
      </c>
      <c r="F240" s="695">
        <f t="shared" si="83"/>
        <v>17387212</v>
      </c>
      <c r="G240" s="695">
        <f t="shared" si="83"/>
        <v>4154542.6181818186</v>
      </c>
      <c r="H240" s="695">
        <f t="shared" si="83"/>
        <v>21412629.81818182</v>
      </c>
      <c r="I240" s="695">
        <f t="shared" si="83"/>
        <v>21290977.326400001</v>
      </c>
      <c r="J240" s="695">
        <f t="shared" si="83"/>
        <v>11318132</v>
      </c>
      <c r="K240" s="695">
        <f t="shared" si="83"/>
        <v>23496232</v>
      </c>
      <c r="L240" s="695">
        <f t="shared" si="83"/>
        <v>0</v>
      </c>
      <c r="M240" s="695">
        <f t="shared" si="83"/>
        <v>0</v>
      </c>
      <c r="N240" s="695">
        <f t="shared" si="83"/>
        <v>0</v>
      </c>
      <c r="O240" s="1271">
        <f t="shared" si="83"/>
        <v>0</v>
      </c>
      <c r="P240" s="695">
        <f t="shared" si="83"/>
        <v>17458620.619999997</v>
      </c>
      <c r="Q240" s="695">
        <f t="shared" si="83"/>
        <v>23294352.666666668</v>
      </c>
      <c r="R240" s="695">
        <f t="shared" si="83"/>
        <v>22899445.422466669</v>
      </c>
      <c r="S240" s="695">
        <f t="shared" si="83"/>
        <v>22314350.951400001</v>
      </c>
      <c r="T240" s="1272" t="e">
        <f t="shared" ref="T240:AC240" si="84">T134+T164+T186+T195+T198+T231+T238</f>
        <v>#REF!</v>
      </c>
      <c r="U240" s="695" t="e">
        <f t="shared" si="84"/>
        <v>#REF!</v>
      </c>
      <c r="V240" s="695" t="e">
        <f t="shared" si="84"/>
        <v>#REF!</v>
      </c>
      <c r="W240" s="695" t="e">
        <f t="shared" si="84"/>
        <v>#REF!</v>
      </c>
      <c r="X240" s="695" t="e">
        <f t="shared" si="84"/>
        <v>#REF!</v>
      </c>
      <c r="Y240" s="695" t="e">
        <f t="shared" si="84"/>
        <v>#REF!</v>
      </c>
      <c r="Z240" s="695" t="e">
        <f t="shared" si="84"/>
        <v>#REF!</v>
      </c>
      <c r="AA240" s="695" t="e">
        <f t="shared" si="84"/>
        <v>#REF!</v>
      </c>
      <c r="AB240" s="695" t="e">
        <f t="shared" si="84"/>
        <v>#REF!</v>
      </c>
      <c r="AC240" s="695" t="e">
        <f t="shared" si="84"/>
        <v>#REF!</v>
      </c>
      <c r="AD240" s="81" t="str">
        <f t="shared" si="77"/>
        <v>סה"כ</v>
      </c>
      <c r="AG240" s="1213"/>
    </row>
    <row r="241" spans="1:33" s="1226" customFormat="1" ht="12.75" customHeight="1" x14ac:dyDescent="0.25">
      <c r="A241" s="1255"/>
      <c r="B241" s="1255"/>
      <c r="C241" s="1238"/>
      <c r="D241" s="1239"/>
      <c r="E241" s="695"/>
      <c r="F241" s="695"/>
      <c r="G241" s="667">
        <f>F241/9*3</f>
        <v>0</v>
      </c>
      <c r="H241" s="667"/>
      <c r="I241" s="695"/>
      <c r="J241" s="695"/>
      <c r="K241" s="695"/>
      <c r="P241" s="608"/>
      <c r="Q241" s="608"/>
      <c r="R241" s="608"/>
      <c r="S241" s="608"/>
      <c r="W241" s="695"/>
      <c r="X241" s="1248"/>
      <c r="Y241" s="81"/>
      <c r="Z241" s="1212"/>
      <c r="AA241" s="1213"/>
      <c r="AB241" s="1213"/>
      <c r="AC241" s="1212">
        <f t="shared" si="72"/>
        <v>0</v>
      </c>
      <c r="AD241" s="81" t="str">
        <f t="shared" si="77"/>
        <v/>
      </c>
      <c r="AG241" s="1213"/>
    </row>
    <row r="242" spans="1:33" ht="15.6" customHeight="1" x14ac:dyDescent="0.25">
      <c r="C242" s="1210">
        <v>822000.76</v>
      </c>
      <c r="D242" s="689" t="s">
        <v>1694</v>
      </c>
      <c r="E242" s="667">
        <v>65000</v>
      </c>
      <c r="F242" s="667">
        <v>63765</v>
      </c>
      <c r="G242" s="667">
        <f>F242/11</f>
        <v>5796.818181818182</v>
      </c>
      <c r="H242" s="667">
        <f>F242+G242</f>
        <v>69561.818181818177</v>
      </c>
      <c r="I242" s="667">
        <v>0</v>
      </c>
      <c r="J242" s="667">
        <v>0</v>
      </c>
      <c r="K242" s="667">
        <v>10000</v>
      </c>
      <c r="P242" s="608">
        <v>0</v>
      </c>
      <c r="Q242" s="608">
        <f>P242/9*12</f>
        <v>0</v>
      </c>
      <c r="R242" s="1225">
        <v>60000</v>
      </c>
      <c r="S242" s="1225">
        <v>30000</v>
      </c>
      <c r="W242" s="1140">
        <v>0</v>
      </c>
      <c r="X242" s="961"/>
      <c r="Y242" s="81"/>
      <c r="Z242" s="1212"/>
      <c r="AA242" s="81"/>
      <c r="AB242" s="1213"/>
      <c r="AC242" s="1212">
        <f t="shared" si="72"/>
        <v>10000</v>
      </c>
      <c r="AG242" s="81"/>
    </row>
    <row r="243" spans="1:33" ht="15.6" customHeight="1" x14ac:dyDescent="0.25">
      <c r="C243" s="1210">
        <v>822000.78</v>
      </c>
      <c r="D243" s="689" t="s">
        <v>757</v>
      </c>
      <c r="E243" s="667">
        <v>130000</v>
      </c>
      <c r="F243" s="667">
        <v>115000</v>
      </c>
      <c r="G243" s="667">
        <f>F243/11</f>
        <v>10454.545454545454</v>
      </c>
      <c r="H243" s="667">
        <f>F243+G243</f>
        <v>125454.54545454546</v>
      </c>
      <c r="I243" s="667">
        <f>92000+80000</f>
        <v>172000</v>
      </c>
      <c r="J243" s="667">
        <v>52015</v>
      </c>
      <c r="K243" s="667">
        <v>172000</v>
      </c>
      <c r="L243" s="1209"/>
      <c r="M243" s="1209"/>
      <c r="N243" s="1209"/>
      <c r="O243" s="1209"/>
      <c r="P243" s="608">
        <v>113515</v>
      </c>
      <c r="Q243" s="608">
        <f>161837+80000</f>
        <v>241837</v>
      </c>
      <c r="R243" s="1225">
        <v>200000</v>
      </c>
      <c r="S243" s="1225">
        <v>200000</v>
      </c>
      <c r="W243" s="667">
        <f>92000+80000</f>
        <v>172000</v>
      </c>
      <c r="X243" s="961"/>
      <c r="Y243" s="81">
        <v>172000</v>
      </c>
      <c r="Z243" s="1212"/>
      <c r="AA243" s="1213"/>
      <c r="AB243" s="81"/>
      <c r="AC243" s="1212">
        <f t="shared" si="72"/>
        <v>0</v>
      </c>
      <c r="AG243" s="1213"/>
    </row>
    <row r="244" spans="1:33" s="1207" customFormat="1" ht="15.6" customHeight="1" x14ac:dyDescent="0.25">
      <c r="C244" s="1215">
        <v>823000.11</v>
      </c>
      <c r="D244" s="1216" t="s">
        <v>759</v>
      </c>
      <c r="E244" s="1217">
        <f>מוניצ!I62</f>
        <v>80526</v>
      </c>
      <c r="F244" s="1217">
        <v>68384</v>
      </c>
      <c r="G244" s="1217">
        <f>F244/10*2</f>
        <v>13676.8</v>
      </c>
      <c r="H244" s="1217">
        <f t="shared" ref="H244:H254" si="85">F244+G244</f>
        <v>82060.800000000003</v>
      </c>
      <c r="I244" s="1217">
        <v>80000</v>
      </c>
      <c r="J244" s="1217">
        <v>43153</v>
      </c>
      <c r="K244" s="1217">
        <f>מוניצ!K62</f>
        <v>82000</v>
      </c>
      <c r="P244" s="1217">
        <f>שכר!AG338</f>
        <v>66659.77</v>
      </c>
      <c r="Q244" s="1217">
        <v>85339</v>
      </c>
      <c r="R244" s="1217">
        <f>שכר!AM338</f>
        <v>118035.40280000001</v>
      </c>
      <c r="S244" s="1217">
        <f t="shared" ref="S244:S245" si="86">R244*1.02</f>
        <v>120396.11085600001</v>
      </c>
      <c r="W244" s="1217">
        <f>מוניצ!AH61</f>
        <v>0</v>
      </c>
      <c r="X244" s="961"/>
      <c r="Y244" s="81"/>
      <c r="Z244" s="81"/>
      <c r="AA244" s="81"/>
      <c r="AB244" s="81"/>
      <c r="AC244" s="1212">
        <f t="shared" si="72"/>
        <v>2000</v>
      </c>
      <c r="AD244" s="81" t="str">
        <f t="shared" si="77"/>
        <v>8230</v>
      </c>
      <c r="AG244" s="81"/>
    </row>
    <row r="245" spans="1:33" s="1230" customFormat="1" ht="15.6" customHeight="1" x14ac:dyDescent="0.25">
      <c r="C245" s="1215">
        <v>824000.11</v>
      </c>
      <c r="D245" s="1216" t="s">
        <v>760</v>
      </c>
      <c r="E245" s="1217">
        <f>מוניצ!I66</f>
        <v>104380</v>
      </c>
      <c r="F245" s="1217">
        <v>85366</v>
      </c>
      <c r="G245" s="1217">
        <f>F245/10*2</f>
        <v>17073.2</v>
      </c>
      <c r="H245" s="1217">
        <f t="shared" si="85"/>
        <v>102439.2</v>
      </c>
      <c r="I245" s="1217">
        <v>175000</v>
      </c>
      <c r="J245" s="1217">
        <v>63106</v>
      </c>
      <c r="K245" s="1217">
        <f>מוניצ!K66</f>
        <v>155000</v>
      </c>
      <c r="L245" s="1235"/>
      <c r="M245" s="1235"/>
      <c r="N245" s="1235"/>
      <c r="O245" s="1235"/>
      <c r="P245" s="1217">
        <f>שכר!AG343</f>
        <v>177177.58000000002</v>
      </c>
      <c r="Q245" s="1217">
        <v>155316</v>
      </c>
      <c r="R245" s="1217">
        <f>שכר!AM343</f>
        <v>234065.46899999998</v>
      </c>
      <c r="S245" s="1217">
        <f t="shared" si="86"/>
        <v>238746.77837999997</v>
      </c>
      <c r="W245" s="1217">
        <f>מוניצ!AH66</f>
        <v>0</v>
      </c>
      <c r="X245" s="961"/>
      <c r="Y245" s="81"/>
      <c r="Z245" s="1212"/>
      <c r="AA245" s="1213"/>
      <c r="AB245" s="1213"/>
      <c r="AC245" s="1212">
        <f t="shared" si="72"/>
        <v>-20000</v>
      </c>
      <c r="AD245" s="81" t="str">
        <f t="shared" si="77"/>
        <v>8240</v>
      </c>
      <c r="AG245" s="1213"/>
    </row>
    <row r="246" spans="1:33" s="1230" customFormat="1" ht="15.6" customHeight="1" x14ac:dyDescent="0.25">
      <c r="C246" s="1210">
        <v>824000.42</v>
      </c>
      <c r="D246" s="689" t="s">
        <v>1704</v>
      </c>
      <c r="E246" s="667">
        <f>11408+5000</f>
        <v>16408</v>
      </c>
      <c r="F246" s="667">
        <v>2852</v>
      </c>
      <c r="G246" s="667">
        <f>F246/11</f>
        <v>259.27272727272725</v>
      </c>
      <c r="H246" s="667">
        <f t="shared" si="85"/>
        <v>3111.272727272727</v>
      </c>
      <c r="I246" s="667">
        <v>16408</v>
      </c>
      <c r="J246" s="667">
        <v>2852</v>
      </c>
      <c r="K246" s="667">
        <v>16500</v>
      </c>
      <c r="P246" s="608">
        <v>6655</v>
      </c>
      <c r="Q246" s="608">
        <v>12361</v>
      </c>
      <c r="R246" s="1225">
        <v>16500</v>
      </c>
      <c r="S246" s="1225">
        <v>16500</v>
      </c>
      <c r="W246" s="667">
        <v>16408</v>
      </c>
      <c r="X246" s="961"/>
      <c r="Y246" s="81">
        <v>16500</v>
      </c>
      <c r="Z246" s="1212"/>
      <c r="AA246" s="1213"/>
      <c r="AB246" s="1213"/>
      <c r="AC246" s="1212">
        <f t="shared" si="72"/>
        <v>92</v>
      </c>
      <c r="AD246" s="81"/>
      <c r="AG246" s="1213"/>
    </row>
    <row r="247" spans="1:33" s="1230" customFormat="1" ht="15.6" customHeight="1" x14ac:dyDescent="0.25">
      <c r="C247" s="1210">
        <v>82400.429999999993</v>
      </c>
      <c r="D247" s="689" t="s">
        <v>761</v>
      </c>
      <c r="E247" s="667">
        <v>0</v>
      </c>
      <c r="F247" s="667">
        <v>0</v>
      </c>
      <c r="G247" s="667">
        <f>F247/11</f>
        <v>0</v>
      </c>
      <c r="H247" s="667">
        <f t="shared" si="85"/>
        <v>0</v>
      </c>
      <c r="I247" s="667">
        <v>0</v>
      </c>
      <c r="J247" s="667">
        <v>0</v>
      </c>
      <c r="K247" s="667">
        <f>J247*2</f>
        <v>0</v>
      </c>
      <c r="P247" s="608">
        <v>0</v>
      </c>
      <c r="Q247" s="608">
        <f>P247/9*12</f>
        <v>0</v>
      </c>
      <c r="R247" s="1225">
        <v>20000</v>
      </c>
      <c r="S247" s="1225">
        <v>20000</v>
      </c>
      <c r="W247" s="1140">
        <v>0</v>
      </c>
      <c r="X247" s="961"/>
      <c r="Y247" s="81"/>
      <c r="Z247" s="81"/>
      <c r="AA247" s="81"/>
      <c r="AB247" s="81"/>
      <c r="AC247" s="1212">
        <f t="shared" si="72"/>
        <v>0</v>
      </c>
      <c r="AD247" s="81"/>
      <c r="AG247" s="81"/>
    </row>
    <row r="248" spans="1:33" s="1230" customFormat="1" ht="15.6" customHeight="1" x14ac:dyDescent="0.25">
      <c r="C248" s="1210">
        <v>824000.43099999998</v>
      </c>
      <c r="D248" s="689" t="s">
        <v>762</v>
      </c>
      <c r="E248" s="667">
        <v>32000</v>
      </c>
      <c r="F248" s="667">
        <v>15634</v>
      </c>
      <c r="G248" s="667">
        <f>F248/11</f>
        <v>1421.2727272727273</v>
      </c>
      <c r="H248" s="667">
        <f t="shared" si="85"/>
        <v>17055.272727272728</v>
      </c>
      <c r="I248" s="667">
        <v>32000</v>
      </c>
      <c r="J248" s="667">
        <v>16197</v>
      </c>
      <c r="K248" s="667">
        <f>J248*2</f>
        <v>32394</v>
      </c>
      <c r="P248" s="608">
        <v>23387</v>
      </c>
      <c r="Q248" s="608">
        <v>32687</v>
      </c>
      <c r="R248" s="1225">
        <v>32394</v>
      </c>
      <c r="S248" s="1225">
        <v>32394</v>
      </c>
      <c r="W248" s="667">
        <v>32000</v>
      </c>
      <c r="X248" s="961"/>
      <c r="Y248" s="81"/>
      <c r="Z248" s="81"/>
      <c r="AA248" s="81"/>
      <c r="AB248" s="81"/>
      <c r="AC248" s="1212">
        <f t="shared" si="72"/>
        <v>394</v>
      </c>
      <c r="AD248" s="81"/>
      <c r="AG248" s="81"/>
    </row>
    <row r="249" spans="1:33" s="1230" customFormat="1" ht="15.6" customHeight="1" x14ac:dyDescent="0.25">
      <c r="C249" s="1210">
        <v>824000.43200000003</v>
      </c>
      <c r="D249" s="689" t="s">
        <v>763</v>
      </c>
      <c r="E249" s="667">
        <v>3000</v>
      </c>
      <c r="F249" s="667">
        <v>2048</v>
      </c>
      <c r="G249" s="667">
        <f>F249/11</f>
        <v>186.18181818181819</v>
      </c>
      <c r="H249" s="667">
        <f t="shared" si="85"/>
        <v>2234.181818181818</v>
      </c>
      <c r="I249" s="667">
        <v>3000</v>
      </c>
      <c r="J249" s="667">
        <v>419</v>
      </c>
      <c r="K249" s="667">
        <v>3000</v>
      </c>
      <c r="P249" s="608">
        <v>826</v>
      </c>
      <c r="Q249" s="608">
        <v>1097</v>
      </c>
      <c r="R249" s="1225">
        <v>3000</v>
      </c>
      <c r="S249" s="1225">
        <v>3000</v>
      </c>
      <c r="W249" s="667">
        <v>3000</v>
      </c>
      <c r="X249" s="961"/>
      <c r="Y249" s="81">
        <v>3000</v>
      </c>
      <c r="Z249" s="81"/>
      <c r="AA249" s="81"/>
      <c r="AB249" s="81"/>
      <c r="AC249" s="1212">
        <f t="shared" si="72"/>
        <v>0</v>
      </c>
      <c r="AD249" s="81"/>
      <c r="AG249" s="81"/>
    </row>
    <row r="250" spans="1:33" s="1230" customFormat="1" ht="15.6" customHeight="1" x14ac:dyDescent="0.25">
      <c r="C250" s="1210">
        <v>824000.54</v>
      </c>
      <c r="D250" s="689" t="s">
        <v>764</v>
      </c>
      <c r="E250" s="667">
        <v>2400</v>
      </c>
      <c r="F250" s="667">
        <v>1901</v>
      </c>
      <c r="G250" s="667">
        <f>F250/11</f>
        <v>172.81818181818181</v>
      </c>
      <c r="H250" s="667">
        <f t="shared" si="85"/>
        <v>2073.818181818182</v>
      </c>
      <c r="I250" s="667">
        <v>2400</v>
      </c>
      <c r="J250" s="667">
        <v>951</v>
      </c>
      <c r="K250" s="667">
        <v>2400</v>
      </c>
      <c r="L250" s="1235"/>
      <c r="M250" s="1235"/>
      <c r="N250" s="1235"/>
      <c r="O250" s="1235"/>
      <c r="P250" s="608">
        <v>1522</v>
      </c>
      <c r="Q250" s="608">
        <v>2282</v>
      </c>
      <c r="R250" s="1225">
        <v>2400</v>
      </c>
      <c r="S250" s="1225">
        <v>2400</v>
      </c>
      <c r="W250" s="667">
        <v>2400</v>
      </c>
      <c r="X250" s="961"/>
      <c r="Y250" s="81">
        <v>2400</v>
      </c>
      <c r="Z250" s="1212"/>
      <c r="AA250" s="1213"/>
      <c r="AB250" s="1213"/>
      <c r="AC250" s="1212">
        <f t="shared" si="72"/>
        <v>0</v>
      </c>
      <c r="AD250" s="81"/>
      <c r="AG250" s="1213"/>
    </row>
    <row r="251" spans="1:33" s="1230" customFormat="1" ht="15.6" customHeight="1" x14ac:dyDescent="0.25">
      <c r="C251" s="1215">
        <v>825000.11</v>
      </c>
      <c r="D251" s="1216" t="s">
        <v>765</v>
      </c>
      <c r="E251" s="1217">
        <f>מוניצ!I68</f>
        <v>56172</v>
      </c>
      <c r="F251" s="1217">
        <v>47598</v>
      </c>
      <c r="G251" s="1217">
        <f>F251/10*2</f>
        <v>9519.6</v>
      </c>
      <c r="H251" s="1217">
        <f t="shared" si="85"/>
        <v>57117.599999999999</v>
      </c>
      <c r="I251" s="1217">
        <v>60000</v>
      </c>
      <c r="J251" s="1217">
        <f>30120+3040</f>
        <v>33160</v>
      </c>
      <c r="K251" s="1217">
        <f>מוניצ!K68</f>
        <v>57000</v>
      </c>
      <c r="P251" s="1217">
        <f>שכר!AG345</f>
        <v>44769.79</v>
      </c>
      <c r="Q251" s="1217">
        <v>62755</v>
      </c>
      <c r="R251" s="1217">
        <f>שכר!AM345</f>
        <v>59090.476800000004</v>
      </c>
      <c r="S251" s="1217">
        <f t="shared" ref="S251" si="87">R251*1.02</f>
        <v>60272.286336000005</v>
      </c>
      <c r="W251" s="1217">
        <f>מוניצ!AH68</f>
        <v>0</v>
      </c>
      <c r="X251" s="961"/>
      <c r="Y251" s="81"/>
      <c r="Z251" s="1212"/>
      <c r="AA251" s="1213"/>
      <c r="AB251" s="1213"/>
      <c r="AC251" s="1212">
        <f t="shared" si="72"/>
        <v>-3000</v>
      </c>
      <c r="AD251" s="81" t="str">
        <f t="shared" si="77"/>
        <v>8250</v>
      </c>
      <c r="AG251" s="1213"/>
    </row>
    <row r="252" spans="1:33" s="1230" customFormat="1" ht="15.6" customHeight="1" x14ac:dyDescent="0.25">
      <c r="C252" s="1210">
        <v>812400.43099999998</v>
      </c>
      <c r="D252" s="689" t="s">
        <v>766</v>
      </c>
      <c r="E252" s="667">
        <v>2000</v>
      </c>
      <c r="F252" s="673">
        <v>0</v>
      </c>
      <c r="G252" s="667">
        <f>F252/11</f>
        <v>0</v>
      </c>
      <c r="H252" s="667">
        <f t="shared" si="85"/>
        <v>0</v>
      </c>
      <c r="I252" s="610">
        <v>2000</v>
      </c>
      <c r="J252" s="610">
        <v>0</v>
      </c>
      <c r="K252" s="610">
        <v>2000</v>
      </c>
      <c r="P252" s="608">
        <v>0</v>
      </c>
      <c r="Q252" s="608">
        <f>P252/9*12</f>
        <v>0</v>
      </c>
      <c r="R252" s="1225">
        <v>2000</v>
      </c>
      <c r="S252" s="1225">
        <v>2000</v>
      </c>
      <c r="W252" s="610">
        <v>2000</v>
      </c>
      <c r="X252" s="961"/>
      <c r="Y252" s="81">
        <v>2000</v>
      </c>
      <c r="Z252" s="1212"/>
      <c r="AA252" s="1213"/>
      <c r="AB252" s="1213"/>
      <c r="AC252" s="1212">
        <f t="shared" si="72"/>
        <v>0</v>
      </c>
      <c r="AD252" s="81"/>
      <c r="AG252" s="1213"/>
    </row>
    <row r="253" spans="1:33" s="1230" customFormat="1" ht="15.6" customHeight="1" x14ac:dyDescent="0.25">
      <c r="C253" s="1210">
        <v>812400.43200000003</v>
      </c>
      <c r="D253" s="689" t="s">
        <v>767</v>
      </c>
      <c r="E253" s="667">
        <v>2000</v>
      </c>
      <c r="F253" s="673">
        <v>0</v>
      </c>
      <c r="G253" s="667">
        <f>F253/11</f>
        <v>0</v>
      </c>
      <c r="H253" s="667">
        <f t="shared" si="85"/>
        <v>0</v>
      </c>
      <c r="I253" s="610">
        <v>2000</v>
      </c>
      <c r="J253" s="610">
        <v>0</v>
      </c>
      <c r="K253" s="610">
        <v>2000</v>
      </c>
      <c r="P253" s="608">
        <v>0</v>
      </c>
      <c r="Q253" s="608">
        <f>P253/9*12</f>
        <v>0</v>
      </c>
      <c r="R253" s="1225">
        <v>2000</v>
      </c>
      <c r="S253" s="1225">
        <v>2000</v>
      </c>
      <c r="W253" s="610">
        <v>2000</v>
      </c>
      <c r="X253" s="961"/>
      <c r="Y253" s="81">
        <v>2000</v>
      </c>
      <c r="Z253" s="81"/>
      <c r="AA253" s="81"/>
      <c r="AB253" s="81"/>
      <c r="AC253" s="1212">
        <f t="shared" si="72"/>
        <v>0</v>
      </c>
      <c r="AD253" s="81"/>
      <c r="AG253" s="81"/>
    </row>
    <row r="254" spans="1:33" s="1230" customFormat="1" ht="15.6" customHeight="1" x14ac:dyDescent="0.25">
      <c r="C254" s="1210">
        <v>812400.54</v>
      </c>
      <c r="D254" s="689" t="s">
        <v>768</v>
      </c>
      <c r="E254" s="667">
        <v>2510</v>
      </c>
      <c r="F254" s="667">
        <v>2301</v>
      </c>
      <c r="G254" s="667">
        <f>F254/11</f>
        <v>209.18181818181819</v>
      </c>
      <c r="H254" s="667">
        <f t="shared" si="85"/>
        <v>2510.181818181818</v>
      </c>
      <c r="I254" s="667">
        <v>2600</v>
      </c>
      <c r="J254" s="667">
        <v>1119</v>
      </c>
      <c r="K254" s="610">
        <v>2600</v>
      </c>
      <c r="P254" s="608">
        <v>1757</v>
      </c>
      <c r="Q254" s="608">
        <v>2590</v>
      </c>
      <c r="R254" s="1225">
        <v>2600</v>
      </c>
      <c r="S254" s="1225">
        <v>2600</v>
      </c>
      <c r="W254" s="667">
        <v>2600</v>
      </c>
      <c r="X254" s="961"/>
      <c r="Y254" s="81">
        <v>2600</v>
      </c>
      <c r="Z254" s="1212"/>
      <c r="AA254" s="1213"/>
      <c r="AB254" s="1213"/>
      <c r="AC254" s="1212">
        <f t="shared" si="72"/>
        <v>0</v>
      </c>
      <c r="AD254" s="81"/>
      <c r="AG254" s="1213"/>
    </row>
    <row r="255" spans="1:33" s="1230" customFormat="1" ht="15.6" customHeight="1" x14ac:dyDescent="0.25">
      <c r="C255" s="1210"/>
      <c r="D255" s="1232" t="s">
        <v>769</v>
      </c>
      <c r="E255" s="1259">
        <f>SUM(E242:E254)</f>
        <v>496396</v>
      </c>
      <c r="F255" s="1259">
        <f>SUM(F243:F254)</f>
        <v>341084</v>
      </c>
      <c r="G255" s="1259">
        <f>SUM(G243:G254)</f>
        <v>52972.872727272726</v>
      </c>
      <c r="H255" s="1259">
        <f>SUM(H242:H254)</f>
        <v>463618.69090909086</v>
      </c>
      <c r="I255" s="1259">
        <f>SUM(I242:I254)</f>
        <v>547408</v>
      </c>
      <c r="J255" s="1259">
        <f t="shared" ref="J255:P255" si="88">SUM(J243:J254)</f>
        <v>212972</v>
      </c>
      <c r="K255" s="1259">
        <f t="shared" si="88"/>
        <v>526894</v>
      </c>
      <c r="L255" s="1259">
        <f t="shared" si="88"/>
        <v>0</v>
      </c>
      <c r="M255" s="1259">
        <f t="shared" si="88"/>
        <v>0</v>
      </c>
      <c r="N255" s="1259">
        <f t="shared" si="88"/>
        <v>0</v>
      </c>
      <c r="O255" s="1260">
        <f t="shared" si="88"/>
        <v>0</v>
      </c>
      <c r="P255" s="1259">
        <f t="shared" si="88"/>
        <v>436269.14</v>
      </c>
      <c r="Q255" s="1259">
        <f>SUM(Q242:Q254)</f>
        <v>596264</v>
      </c>
      <c r="R255" s="1259">
        <f>SUM(R242:R254)</f>
        <v>752085.34860000014</v>
      </c>
      <c r="S255" s="1259">
        <f t="shared" ref="S255:AC255" si="89">SUM(S243:S254)</f>
        <v>700309.17557199986</v>
      </c>
      <c r="T255" s="1261">
        <f t="shared" si="89"/>
        <v>0</v>
      </c>
      <c r="U255" s="1259">
        <f t="shared" si="89"/>
        <v>0</v>
      </c>
      <c r="V255" s="1259">
        <f t="shared" si="89"/>
        <v>0</v>
      </c>
      <c r="W255" s="1259">
        <f t="shared" si="89"/>
        <v>232408</v>
      </c>
      <c r="X255" s="1259">
        <f t="shared" si="89"/>
        <v>0</v>
      </c>
      <c r="Y255" s="1259">
        <f t="shared" si="89"/>
        <v>200500</v>
      </c>
      <c r="Z255" s="1259">
        <f t="shared" si="89"/>
        <v>0</v>
      </c>
      <c r="AA255" s="1259">
        <f t="shared" si="89"/>
        <v>0</v>
      </c>
      <c r="AB255" s="1259">
        <f t="shared" si="89"/>
        <v>0</v>
      </c>
      <c r="AC255" s="1259">
        <f t="shared" si="89"/>
        <v>-20514</v>
      </c>
      <c r="AD255" s="81" t="str">
        <f t="shared" si="77"/>
        <v/>
      </c>
      <c r="AG255" s="81"/>
    </row>
    <row r="256" spans="1:33" s="1230" customFormat="1" ht="12.75" customHeight="1" x14ac:dyDescent="0.25">
      <c r="C256" s="1210"/>
      <c r="D256" s="1246"/>
      <c r="E256" s="667"/>
      <c r="F256" s="603"/>
      <c r="G256" s="667">
        <f>F256/9*3</f>
        <v>0</v>
      </c>
      <c r="H256" s="667"/>
      <c r="I256" s="667"/>
      <c r="J256" s="667"/>
      <c r="K256" s="667"/>
      <c r="P256" s="608"/>
      <c r="Q256" s="608"/>
      <c r="R256" s="608"/>
      <c r="S256" s="608"/>
      <c r="W256" s="667"/>
      <c r="X256" s="961"/>
      <c r="Y256" s="81"/>
      <c r="Z256" s="1212"/>
      <c r="AA256" s="1213"/>
      <c r="AB256" s="1213"/>
      <c r="AC256" s="1212">
        <f t="shared" si="72"/>
        <v>0</v>
      </c>
      <c r="AD256" s="81" t="str">
        <f t="shared" si="77"/>
        <v/>
      </c>
      <c r="AG256" s="1213"/>
    </row>
    <row r="257" spans="3:33" s="1230" customFormat="1" ht="15.6" customHeight="1" x14ac:dyDescent="0.25">
      <c r="C257" s="1215">
        <v>828100.11</v>
      </c>
      <c r="D257" s="1216" t="s">
        <v>770</v>
      </c>
      <c r="E257" s="1217">
        <f>מוניצ!I73</f>
        <v>225161</v>
      </c>
      <c r="F257" s="1217">
        <v>183899</v>
      </c>
      <c r="G257" s="1217">
        <f>F257/10*2</f>
        <v>36779.800000000003</v>
      </c>
      <c r="H257" s="1217">
        <f>F257+G257</f>
        <v>220678.8</v>
      </c>
      <c r="I257" s="1217">
        <f>מוניצ!K73</f>
        <v>282000</v>
      </c>
      <c r="J257" s="1217">
        <v>132631</v>
      </c>
      <c r="K257" s="1217">
        <f>מוניצ!K73</f>
        <v>282000</v>
      </c>
      <c r="P257" s="1217">
        <f>שכר!AG351</f>
        <v>196358.33000000002</v>
      </c>
      <c r="Q257" s="1217">
        <f>3127+259944</f>
        <v>263071</v>
      </c>
      <c r="R257" s="1217">
        <f>שכר!AM351</f>
        <v>264486.81160000002</v>
      </c>
      <c r="S257" s="1217">
        <f t="shared" ref="S257" si="90">R257*1.02</f>
        <v>269776.54783200001</v>
      </c>
      <c r="W257" s="1217">
        <f>מוניצ!AH73</f>
        <v>0</v>
      </c>
      <c r="X257" s="961"/>
      <c r="Y257" s="81"/>
      <c r="Z257" s="1212"/>
      <c r="AA257" s="81"/>
      <c r="AB257" s="1213"/>
      <c r="AC257" s="1212">
        <f t="shared" si="72"/>
        <v>0</v>
      </c>
      <c r="AD257" s="81" t="str">
        <f t="shared" si="77"/>
        <v>8281</v>
      </c>
      <c r="AG257" s="81"/>
    </row>
    <row r="258" spans="3:33" s="1230" customFormat="1" ht="15.6" customHeight="1" x14ac:dyDescent="0.25">
      <c r="C258" s="1210">
        <v>828100.78</v>
      </c>
      <c r="D258" s="689" t="s">
        <v>771</v>
      </c>
      <c r="E258" s="667">
        <v>45685</v>
      </c>
      <c r="F258" s="667">
        <v>24694</v>
      </c>
      <c r="G258" s="667">
        <f>F258/11</f>
        <v>2244.909090909091</v>
      </c>
      <c r="H258" s="667">
        <f>F258+G258</f>
        <v>26938.909090909092</v>
      </c>
      <c r="I258" s="610">
        <v>45685</v>
      </c>
      <c r="J258" s="610">
        <v>0</v>
      </c>
      <c r="K258" s="610">
        <v>45685</v>
      </c>
      <c r="P258" s="608">
        <v>0</v>
      </c>
      <c r="Q258" s="608">
        <f>P258/9*12</f>
        <v>0</v>
      </c>
      <c r="R258" s="1225">
        <v>45685</v>
      </c>
      <c r="S258" s="1225">
        <v>45685</v>
      </c>
      <c r="W258" s="610">
        <v>45685</v>
      </c>
      <c r="X258" s="961"/>
      <c r="Y258" s="81">
        <v>45685</v>
      </c>
      <c r="Z258" s="1212"/>
      <c r="AA258" s="81"/>
      <c r="AB258" s="81"/>
      <c r="AC258" s="1212">
        <f t="shared" si="72"/>
        <v>0</v>
      </c>
      <c r="AD258" s="81"/>
      <c r="AG258" s="81"/>
    </row>
    <row r="259" spans="3:33" s="1230" customFormat="1" ht="15.6" customHeight="1" x14ac:dyDescent="0.25">
      <c r="C259" s="1210">
        <v>828110.75</v>
      </c>
      <c r="D259" s="689" t="s">
        <v>772</v>
      </c>
      <c r="E259" s="667">
        <f>20000+22500</f>
        <v>42500</v>
      </c>
      <c r="F259" s="667">
        <v>13625</v>
      </c>
      <c r="G259" s="667">
        <f>F259/11+27000</f>
        <v>28238.636363636364</v>
      </c>
      <c r="H259" s="667">
        <f>F259+G259</f>
        <v>41863.636363636368</v>
      </c>
      <c r="I259" s="610">
        <v>42500</v>
      </c>
      <c r="J259" s="610">
        <v>0</v>
      </c>
      <c r="K259" s="610">
        <v>42500</v>
      </c>
      <c r="P259" s="608">
        <v>0</v>
      </c>
      <c r="Q259" s="608">
        <f>P259/9*12</f>
        <v>0</v>
      </c>
      <c r="R259" s="1225">
        <v>42500</v>
      </c>
      <c r="S259" s="1225">
        <v>42500</v>
      </c>
      <c r="W259" s="610">
        <v>42500</v>
      </c>
      <c r="X259" s="961"/>
      <c r="Y259" s="81">
        <v>42500</v>
      </c>
      <c r="Z259" s="1212"/>
      <c r="AA259" s="1213"/>
      <c r="AB259" s="1213"/>
      <c r="AC259" s="1212">
        <f t="shared" si="72"/>
        <v>0</v>
      </c>
      <c r="AD259" s="81"/>
      <c r="AG259" s="1213"/>
    </row>
    <row r="260" spans="3:33" s="1230" customFormat="1" ht="15.6" customHeight="1" x14ac:dyDescent="0.25">
      <c r="W260" s="667">
        <v>30000</v>
      </c>
      <c r="X260" s="961"/>
      <c r="Y260" s="81">
        <v>30000</v>
      </c>
      <c r="Z260" s="81"/>
      <c r="AA260" s="81"/>
      <c r="AB260" s="81"/>
      <c r="AC260" s="1212">
        <f>K398-I398</f>
        <v>0</v>
      </c>
      <c r="AD260" s="81"/>
      <c r="AG260" s="81"/>
    </row>
    <row r="261" spans="3:33" s="1230" customFormat="1" ht="15.6" customHeight="1" x14ac:dyDescent="0.25">
      <c r="C261" s="1210"/>
      <c r="D261" s="1232" t="s">
        <v>774</v>
      </c>
      <c r="E261" s="1259">
        <f t="shared" ref="E261:S261" ca="1" si="91">SUM(E257:E398)</f>
        <v>343346</v>
      </c>
      <c r="F261" s="1259">
        <f t="shared" ca="1" si="91"/>
        <v>249718</v>
      </c>
      <c r="G261" s="1259">
        <f t="shared" ca="1" si="91"/>
        <v>69763.345454545459</v>
      </c>
      <c r="H261" s="1259">
        <f t="shared" ca="1" si="91"/>
        <v>319481.34545454546</v>
      </c>
      <c r="I261" s="1259">
        <f t="shared" ca="1" si="91"/>
        <v>400185</v>
      </c>
      <c r="J261" s="1259">
        <f t="shared" ca="1" si="91"/>
        <v>147631</v>
      </c>
      <c r="K261" s="1259">
        <f t="shared" ca="1" si="91"/>
        <v>400185</v>
      </c>
      <c r="L261" s="1259">
        <f t="shared" ca="1" si="91"/>
        <v>0</v>
      </c>
      <c r="M261" s="1259">
        <f t="shared" ca="1" si="91"/>
        <v>0</v>
      </c>
      <c r="N261" s="1259">
        <f t="shared" ca="1" si="91"/>
        <v>0</v>
      </c>
      <c r="O261" s="1260">
        <f t="shared" ca="1" si="91"/>
        <v>0</v>
      </c>
      <c r="P261" s="1259">
        <f t="shared" ca="1" si="91"/>
        <v>218858.33000000002</v>
      </c>
      <c r="Q261" s="1259">
        <f t="shared" ca="1" si="91"/>
        <v>293071</v>
      </c>
      <c r="R261" s="1259">
        <f t="shared" ca="1" si="91"/>
        <v>382671.81160000002</v>
      </c>
      <c r="S261" s="1259">
        <f t="shared" ca="1" si="91"/>
        <v>387961.54783200001</v>
      </c>
      <c r="T261" s="1261">
        <f t="shared" ref="T261:AC261" si="92">SUM(T257:T260)</f>
        <v>0</v>
      </c>
      <c r="U261" s="1259">
        <f t="shared" si="92"/>
        <v>0</v>
      </c>
      <c r="V261" s="1259">
        <f t="shared" si="92"/>
        <v>0</v>
      </c>
      <c r="W261" s="1259">
        <f t="shared" si="92"/>
        <v>118185</v>
      </c>
      <c r="X261" s="1259">
        <f t="shared" si="92"/>
        <v>0</v>
      </c>
      <c r="Y261" s="1259">
        <f t="shared" si="92"/>
        <v>118185</v>
      </c>
      <c r="Z261" s="1259">
        <f t="shared" si="92"/>
        <v>0</v>
      </c>
      <c r="AA261" s="1259">
        <f t="shared" si="92"/>
        <v>0</v>
      </c>
      <c r="AB261" s="1259">
        <f t="shared" si="92"/>
        <v>0</v>
      </c>
      <c r="AC261" s="1259">
        <f t="shared" si="92"/>
        <v>0</v>
      </c>
      <c r="AD261" s="81" t="str">
        <f t="shared" si="77"/>
        <v/>
      </c>
      <c r="AG261" s="81"/>
    </row>
    <row r="262" spans="3:33" s="1230" customFormat="1" ht="15.6" customHeight="1" x14ac:dyDescent="0.25">
      <c r="C262" s="1210"/>
      <c r="D262" s="1246"/>
      <c r="E262" s="667"/>
      <c r="F262" s="603"/>
      <c r="G262" s="667">
        <f>F262/9*3</f>
        <v>0</v>
      </c>
      <c r="H262" s="667"/>
      <c r="I262" s="667"/>
      <c r="J262" s="667"/>
      <c r="K262" s="667"/>
      <c r="L262" s="1235"/>
      <c r="M262" s="1235"/>
      <c r="N262" s="1235"/>
      <c r="O262" s="1235"/>
      <c r="P262" s="608"/>
      <c r="Q262" s="608"/>
      <c r="R262" s="608"/>
      <c r="S262" s="608"/>
      <c r="W262" s="667"/>
      <c r="X262" s="961"/>
      <c r="Y262" s="81"/>
      <c r="Z262" s="1212"/>
      <c r="AA262" s="81"/>
      <c r="AB262" s="1213"/>
      <c r="AC262" s="1212">
        <f t="shared" si="72"/>
        <v>0</v>
      </c>
      <c r="AD262" s="81" t="str">
        <f t="shared" si="77"/>
        <v/>
      </c>
      <c r="AG262" s="81"/>
    </row>
    <row r="263" spans="3:33" s="1230" customFormat="1" ht="15.6" customHeight="1" x14ac:dyDescent="0.25">
      <c r="C263" s="1215">
        <v>829000.11</v>
      </c>
      <c r="D263" s="1216" t="s">
        <v>775</v>
      </c>
      <c r="E263" s="1217">
        <f>מוניצ!I79</f>
        <v>366790</v>
      </c>
      <c r="F263" s="1217">
        <v>293576</v>
      </c>
      <c r="G263" s="1217">
        <f>F263/10*2</f>
        <v>58715.199999999997</v>
      </c>
      <c r="H263" s="1217">
        <f>F263+G263</f>
        <v>352291.2</v>
      </c>
      <c r="I263" s="1217">
        <v>276000</v>
      </c>
      <c r="J263" s="1217">
        <v>127448</v>
      </c>
      <c r="K263" s="1217">
        <f>מוניצ!K79</f>
        <v>264000</v>
      </c>
      <c r="P263" s="1217">
        <f>שכר!AG358</f>
        <v>179459.83000000002</v>
      </c>
      <c r="Q263" s="1217">
        <v>244684</v>
      </c>
      <c r="R263" s="1217">
        <f>שכר!AM358</f>
        <v>307854.19620000001</v>
      </c>
      <c r="S263" s="1217">
        <f t="shared" ref="S263" si="93">R263*1.02</f>
        <v>314011.28012399998</v>
      </c>
      <c r="W263" s="1217">
        <f>מוניצ!AH79</f>
        <v>0</v>
      </c>
      <c r="X263" s="961"/>
      <c r="Y263" s="81"/>
      <c r="Z263" s="1212"/>
      <c r="AA263" s="1213"/>
      <c r="AB263" s="81"/>
      <c r="AC263" s="1212">
        <f t="shared" si="72"/>
        <v>-12000</v>
      </c>
      <c r="AD263" s="81" t="str">
        <f t="shared" si="77"/>
        <v>8290</v>
      </c>
      <c r="AG263" s="1213"/>
    </row>
    <row r="264" spans="3:33" s="1230" customFormat="1" ht="15.6" customHeight="1" x14ac:dyDescent="0.25">
      <c r="C264" s="1210">
        <v>829000.43200000003</v>
      </c>
      <c r="D264" s="689" t="s">
        <v>776</v>
      </c>
      <c r="E264" s="667">
        <v>10000</v>
      </c>
      <c r="F264" s="667">
        <v>4842</v>
      </c>
      <c r="G264" s="667">
        <f>F264/11</f>
        <v>440.18181818181819</v>
      </c>
      <c r="H264" s="667">
        <f>F264+G264</f>
        <v>5282.181818181818</v>
      </c>
      <c r="I264" s="667">
        <v>10000</v>
      </c>
      <c r="J264" s="667">
        <v>12327</v>
      </c>
      <c r="K264" s="667">
        <f>J264*2</f>
        <v>24654</v>
      </c>
      <c r="P264" s="608">
        <v>24654</v>
      </c>
      <c r="Q264" s="608">
        <v>36981</v>
      </c>
      <c r="R264" s="1225">
        <v>37000</v>
      </c>
      <c r="S264" s="1225">
        <v>37000</v>
      </c>
      <c r="W264" s="667">
        <v>10000</v>
      </c>
      <c r="X264" s="961"/>
      <c r="Y264" s="81"/>
      <c r="Z264" s="81"/>
      <c r="AA264" s="1213"/>
      <c r="AB264" s="1213"/>
      <c r="AC264" s="1212">
        <f t="shared" si="72"/>
        <v>14654</v>
      </c>
      <c r="AD264" s="81"/>
      <c r="AG264" s="1213"/>
    </row>
    <row r="265" spans="3:33" s="1273" customFormat="1" ht="15.6" customHeight="1" x14ac:dyDescent="0.25">
      <c r="C265" s="1210">
        <v>829000.75</v>
      </c>
      <c r="D265" s="689" t="s">
        <v>777</v>
      </c>
      <c r="E265" s="610">
        <v>100000</v>
      </c>
      <c r="F265" s="667">
        <v>102817</v>
      </c>
      <c r="G265" s="667">
        <f>F265/11</f>
        <v>9347</v>
      </c>
      <c r="H265" s="667">
        <f>F265+G265</f>
        <v>112164</v>
      </c>
      <c r="I265" s="610">
        <v>100000</v>
      </c>
      <c r="J265" s="610">
        <f>28108+3709</f>
        <v>31817</v>
      </c>
      <c r="K265" s="667">
        <v>150000</v>
      </c>
      <c r="P265" s="608">
        <v>120043</v>
      </c>
      <c r="Q265" s="608">
        <v>121206</v>
      </c>
      <c r="R265" s="1225">
        <v>120000</v>
      </c>
      <c r="S265" s="1225">
        <v>120000</v>
      </c>
      <c r="W265" s="610">
        <v>100000</v>
      </c>
      <c r="X265" s="961"/>
      <c r="Y265" s="81">
        <v>150000</v>
      </c>
      <c r="Z265" s="1212"/>
      <c r="AA265" s="1213"/>
      <c r="AB265" s="1213"/>
      <c r="AC265" s="1212">
        <f t="shared" si="72"/>
        <v>50000</v>
      </c>
      <c r="AD265" s="81"/>
      <c r="AG265" s="1213"/>
    </row>
    <row r="266" spans="3:33" s="1273" customFormat="1" ht="15.6" customHeight="1" x14ac:dyDescent="0.25">
      <c r="C266" s="1210">
        <v>829100.43</v>
      </c>
      <c r="D266" s="689" t="s">
        <v>3167</v>
      </c>
      <c r="E266" s="610">
        <v>0</v>
      </c>
      <c r="F266" s="667"/>
      <c r="G266" s="667"/>
      <c r="H266" s="667">
        <v>0</v>
      </c>
      <c r="I266" s="610">
        <v>0</v>
      </c>
      <c r="J266" s="610">
        <v>0</v>
      </c>
      <c r="K266" s="667">
        <v>0</v>
      </c>
      <c r="L266" s="1274"/>
      <c r="M266" s="1274"/>
      <c r="N266" s="1274"/>
      <c r="O266" s="1274"/>
      <c r="P266" s="608">
        <v>0</v>
      </c>
      <c r="Q266" s="608">
        <v>0</v>
      </c>
      <c r="R266" s="1225">
        <v>20000</v>
      </c>
      <c r="S266" s="1225">
        <v>20000</v>
      </c>
      <c r="W266" s="610"/>
      <c r="X266" s="961"/>
      <c r="Y266" s="81"/>
      <c r="Z266" s="1212"/>
      <c r="AA266" s="1213"/>
      <c r="AB266" s="1213"/>
      <c r="AC266" s="1212"/>
      <c r="AD266" s="81"/>
      <c r="AG266" s="1213"/>
    </row>
    <row r="267" spans="3:33" s="1273" customFormat="1" ht="15.6" customHeight="1" x14ac:dyDescent="0.25">
      <c r="C267" s="1210">
        <v>829100.43200000003</v>
      </c>
      <c r="D267" s="689" t="s">
        <v>3168</v>
      </c>
      <c r="E267" s="610">
        <v>0</v>
      </c>
      <c r="F267" s="667"/>
      <c r="G267" s="667"/>
      <c r="H267" s="667">
        <v>0</v>
      </c>
      <c r="I267" s="610">
        <v>0</v>
      </c>
      <c r="J267" s="610">
        <v>0</v>
      </c>
      <c r="K267" s="667">
        <v>0</v>
      </c>
      <c r="P267" s="608">
        <v>0</v>
      </c>
      <c r="Q267" s="608">
        <v>0</v>
      </c>
      <c r="R267" s="1225">
        <v>6000</v>
      </c>
      <c r="S267" s="1225">
        <v>6000</v>
      </c>
      <c r="W267" s="610"/>
      <c r="X267" s="961"/>
      <c r="Y267" s="81"/>
      <c r="Z267" s="1212"/>
      <c r="AA267" s="1213"/>
      <c r="AB267" s="1213"/>
      <c r="AC267" s="1212"/>
      <c r="AD267" s="81"/>
      <c r="AG267" s="1213"/>
    </row>
    <row r="268" spans="3:33" s="1273" customFormat="1" ht="15.6" customHeight="1" x14ac:dyDescent="0.25">
      <c r="C268" s="1210">
        <v>829100.75</v>
      </c>
      <c r="D268" s="689" t="s">
        <v>1067</v>
      </c>
      <c r="E268" s="610">
        <v>0</v>
      </c>
      <c r="F268" s="667"/>
      <c r="G268" s="667"/>
      <c r="H268" s="667">
        <v>0</v>
      </c>
      <c r="I268" s="610">
        <v>0</v>
      </c>
      <c r="J268" s="610">
        <v>0</v>
      </c>
      <c r="K268" s="667">
        <v>0</v>
      </c>
      <c r="P268" s="608">
        <v>0</v>
      </c>
      <c r="Q268" s="608">
        <v>0</v>
      </c>
      <c r="R268" s="1225">
        <v>5000</v>
      </c>
      <c r="S268" s="1225">
        <v>5000</v>
      </c>
      <c r="W268" s="610"/>
      <c r="X268" s="961"/>
      <c r="Y268" s="81"/>
      <c r="Z268" s="1212"/>
      <c r="AA268" s="1213"/>
      <c r="AB268" s="1213"/>
      <c r="AC268" s="1212"/>
      <c r="AD268" s="81"/>
      <c r="AG268" s="1213"/>
    </row>
    <row r="269" spans="3:33" s="1273" customFormat="1" ht="15.6" customHeight="1" x14ac:dyDescent="0.25">
      <c r="C269" s="1210"/>
      <c r="D269" s="1232" t="s">
        <v>778</v>
      </c>
      <c r="E269" s="1259">
        <f t="shared" ref="E269:Q269" si="94">SUM(E263:E265)</f>
        <v>476790</v>
      </c>
      <c r="F269" s="1259">
        <f t="shared" si="94"/>
        <v>401235</v>
      </c>
      <c r="G269" s="1259">
        <f t="shared" si="94"/>
        <v>68502.381818181806</v>
      </c>
      <c r="H269" s="1259">
        <f t="shared" si="94"/>
        <v>469737.38181818184</v>
      </c>
      <c r="I269" s="1259">
        <f t="shared" si="94"/>
        <v>386000</v>
      </c>
      <c r="J269" s="1259">
        <f t="shared" si="94"/>
        <v>171592</v>
      </c>
      <c r="K269" s="1259">
        <f t="shared" si="94"/>
        <v>438654</v>
      </c>
      <c r="L269" s="1259">
        <f t="shared" si="94"/>
        <v>0</v>
      </c>
      <c r="M269" s="1259">
        <f t="shared" si="94"/>
        <v>0</v>
      </c>
      <c r="N269" s="1259">
        <f t="shared" si="94"/>
        <v>0</v>
      </c>
      <c r="O269" s="1260">
        <f t="shared" si="94"/>
        <v>0</v>
      </c>
      <c r="P269" s="1259">
        <f t="shared" si="94"/>
        <v>324156.83</v>
      </c>
      <c r="Q269" s="1259">
        <f t="shared" si="94"/>
        <v>402871</v>
      </c>
      <c r="R269" s="1259">
        <f>SUM(R263:R268)</f>
        <v>495854.19620000001</v>
      </c>
      <c r="S269" s="1259">
        <f>SUM(S263:S268)</f>
        <v>502011.28012399998</v>
      </c>
      <c r="T269" s="1261">
        <f t="shared" ref="T269:AC269" si="95">SUM(T263:T265)</f>
        <v>0</v>
      </c>
      <c r="U269" s="1259">
        <f t="shared" si="95"/>
        <v>0</v>
      </c>
      <c r="V269" s="1259">
        <f t="shared" si="95"/>
        <v>0</v>
      </c>
      <c r="W269" s="1259">
        <f t="shared" si="95"/>
        <v>110000</v>
      </c>
      <c r="X269" s="1259">
        <f t="shared" si="95"/>
        <v>0</v>
      </c>
      <c r="Y269" s="1259">
        <f t="shared" si="95"/>
        <v>150000</v>
      </c>
      <c r="Z269" s="1259">
        <f t="shared" si="95"/>
        <v>0</v>
      </c>
      <c r="AA269" s="1259">
        <f t="shared" si="95"/>
        <v>0</v>
      </c>
      <c r="AB269" s="1259">
        <f t="shared" si="95"/>
        <v>0</v>
      </c>
      <c r="AC269" s="1259">
        <f t="shared" si="95"/>
        <v>52654</v>
      </c>
      <c r="AD269" s="81" t="str">
        <f t="shared" si="77"/>
        <v/>
      </c>
      <c r="AG269" s="81"/>
    </row>
    <row r="270" spans="3:33" s="1230" customFormat="1" ht="15.6" customHeight="1" x14ac:dyDescent="0.25">
      <c r="C270" s="1210"/>
      <c r="D270" s="1232"/>
      <c r="E270" s="667"/>
      <c r="F270" s="603"/>
      <c r="G270" s="667">
        <f>F270/9*3</f>
        <v>0</v>
      </c>
      <c r="H270" s="667"/>
      <c r="I270" s="667"/>
      <c r="J270" s="667"/>
      <c r="K270" s="667"/>
      <c r="P270" s="608"/>
      <c r="Q270" s="608"/>
      <c r="R270" s="608"/>
      <c r="S270" s="608"/>
      <c r="W270" s="667"/>
      <c r="X270" s="961"/>
      <c r="Y270" s="81"/>
      <c r="Z270" s="1212"/>
      <c r="AA270" s="81"/>
      <c r="AB270" s="1213"/>
      <c r="AC270" s="1212">
        <f t="shared" si="72"/>
        <v>0</v>
      </c>
      <c r="AD270" s="81" t="str">
        <f t="shared" si="77"/>
        <v/>
      </c>
      <c r="AG270" s="81"/>
    </row>
    <row r="271" spans="3:33" s="1226" customFormat="1" ht="15.6" customHeight="1" x14ac:dyDescent="0.25">
      <c r="C271" s="1238" t="s">
        <v>779</v>
      </c>
      <c r="D271" s="1239" t="s">
        <v>780</v>
      </c>
      <c r="E271" s="695">
        <f t="shared" ref="E271:S271" ca="1" si="96">E255+E261+E269</f>
        <v>1316532</v>
      </c>
      <c r="F271" s="695">
        <f t="shared" ca="1" si="96"/>
        <v>992037</v>
      </c>
      <c r="G271" s="695">
        <f t="shared" ca="1" si="96"/>
        <v>191238.59999999998</v>
      </c>
      <c r="H271" s="695">
        <f t="shared" ca="1" si="96"/>
        <v>1252837.4181818182</v>
      </c>
      <c r="I271" s="695">
        <f t="shared" ca="1" si="96"/>
        <v>1333593</v>
      </c>
      <c r="J271" s="695">
        <f t="shared" ca="1" si="96"/>
        <v>532195</v>
      </c>
      <c r="K271" s="695">
        <f t="shared" ca="1" si="96"/>
        <v>1445733</v>
      </c>
      <c r="L271" s="695">
        <f t="shared" ca="1" si="96"/>
        <v>0</v>
      </c>
      <c r="M271" s="695">
        <f t="shared" ca="1" si="96"/>
        <v>0</v>
      </c>
      <c r="N271" s="695">
        <f t="shared" ca="1" si="96"/>
        <v>0</v>
      </c>
      <c r="O271" s="1271">
        <f t="shared" ca="1" si="96"/>
        <v>0</v>
      </c>
      <c r="P271" s="695">
        <f t="shared" ca="1" si="96"/>
        <v>979284.3</v>
      </c>
      <c r="Q271" s="695">
        <f t="shared" ca="1" si="96"/>
        <v>1370129</v>
      </c>
      <c r="R271" s="695">
        <f t="shared" ca="1" si="96"/>
        <v>1710611.3564000004</v>
      </c>
      <c r="S271" s="695">
        <f t="shared" ca="1" si="96"/>
        <v>1670282.0035279999</v>
      </c>
      <c r="T271" s="1272">
        <f t="shared" ref="T271:AC271" si="97">T255+T261+T269</f>
        <v>0</v>
      </c>
      <c r="U271" s="695">
        <f t="shared" si="97"/>
        <v>0</v>
      </c>
      <c r="V271" s="695">
        <f t="shared" si="97"/>
        <v>0</v>
      </c>
      <c r="W271" s="695">
        <f t="shared" si="97"/>
        <v>460593</v>
      </c>
      <c r="X271" s="695">
        <f t="shared" si="97"/>
        <v>0</v>
      </c>
      <c r="Y271" s="695">
        <f t="shared" si="97"/>
        <v>468685</v>
      </c>
      <c r="Z271" s="695">
        <f t="shared" si="97"/>
        <v>0</v>
      </c>
      <c r="AA271" s="695">
        <f t="shared" si="97"/>
        <v>0</v>
      </c>
      <c r="AB271" s="695">
        <f t="shared" si="97"/>
        <v>0</v>
      </c>
      <c r="AC271" s="695">
        <f t="shared" si="97"/>
        <v>32140</v>
      </c>
      <c r="AD271" s="81" t="str">
        <f t="shared" si="77"/>
        <v>סה"כ</v>
      </c>
      <c r="AG271" s="81"/>
    </row>
    <row r="272" spans="3:33" s="1230" customFormat="1" ht="15.6" customHeight="1" x14ac:dyDescent="0.25">
      <c r="C272" s="1210"/>
      <c r="D272" s="1246"/>
      <c r="E272" s="667"/>
      <c r="F272" s="603"/>
      <c r="G272" s="667">
        <f>F272/9*3</f>
        <v>0</v>
      </c>
      <c r="H272" s="667"/>
      <c r="I272" s="667"/>
      <c r="J272" s="667"/>
      <c r="K272" s="667"/>
      <c r="P272" s="608"/>
      <c r="Q272" s="608"/>
      <c r="R272" s="608"/>
      <c r="S272" s="608"/>
      <c r="W272" s="667"/>
      <c r="X272" s="961"/>
      <c r="Y272" s="81"/>
      <c r="Z272" s="1212"/>
      <c r="AA272" s="1213"/>
      <c r="AB272" s="1213"/>
      <c r="AC272" s="1212">
        <f t="shared" si="72"/>
        <v>0</v>
      </c>
      <c r="AD272" s="81" t="str">
        <f t="shared" si="77"/>
        <v/>
      </c>
      <c r="AG272" s="1213"/>
    </row>
    <row r="273" spans="3:33" ht="15.6" customHeight="1" x14ac:dyDescent="0.25">
      <c r="C273" s="1215">
        <v>832400.11</v>
      </c>
      <c r="D273" s="1216" t="s">
        <v>781</v>
      </c>
      <c r="E273" s="1217">
        <f>מוניצ!I81</f>
        <v>59330</v>
      </c>
      <c r="F273" s="1217">
        <v>50114</v>
      </c>
      <c r="G273" s="1217">
        <f>F273/10*2</f>
        <v>10022.799999999999</v>
      </c>
      <c r="H273" s="1217">
        <f>F273+G273</f>
        <v>60136.800000000003</v>
      </c>
      <c r="I273" s="1217">
        <f>מוניצ!K81</f>
        <v>60000</v>
      </c>
      <c r="J273" s="1217">
        <v>32654</v>
      </c>
      <c r="K273" s="1217">
        <f>מוניצ!K81</f>
        <v>60000</v>
      </c>
      <c r="P273" s="1217">
        <f>שכר!AG360</f>
        <v>48302.43</v>
      </c>
      <c r="Q273" s="1217">
        <v>62662</v>
      </c>
      <c r="R273" s="1217">
        <f>שכר!AM360</f>
        <v>63997.390800000001</v>
      </c>
      <c r="S273" s="1217">
        <f t="shared" ref="S273" si="98">R273*1.02</f>
        <v>65277.338616000001</v>
      </c>
      <c r="W273" s="1217">
        <f>מוניצ!AH81</f>
        <v>0</v>
      </c>
      <c r="X273" s="961"/>
      <c r="Y273" s="81"/>
      <c r="Z273" s="81"/>
      <c r="AA273" s="81"/>
      <c r="AB273" s="81"/>
      <c r="AC273" s="1212">
        <f t="shared" si="72"/>
        <v>0</v>
      </c>
      <c r="AD273" s="81" t="str">
        <f t="shared" si="77"/>
        <v>8324</v>
      </c>
      <c r="AG273" s="81"/>
    </row>
    <row r="274" spans="3:33" ht="15.6" customHeight="1" x14ac:dyDescent="0.25">
      <c r="C274" s="1231" t="s">
        <v>782</v>
      </c>
      <c r="D274" s="1232" t="s">
        <v>783</v>
      </c>
      <c r="E274" s="1259">
        <f t="shared" ref="E274:S274" si="99">SUM(E273:E273)</f>
        <v>59330</v>
      </c>
      <c r="F274" s="1259">
        <f t="shared" si="99"/>
        <v>50114</v>
      </c>
      <c r="G274" s="1259">
        <f t="shared" si="99"/>
        <v>10022.799999999999</v>
      </c>
      <c r="H274" s="1259">
        <f t="shared" si="99"/>
        <v>60136.800000000003</v>
      </c>
      <c r="I274" s="1259">
        <f t="shared" si="99"/>
        <v>60000</v>
      </c>
      <c r="J274" s="1259">
        <f t="shared" si="99"/>
        <v>32654</v>
      </c>
      <c r="K274" s="1259">
        <f t="shared" si="99"/>
        <v>60000</v>
      </c>
      <c r="L274" s="1259">
        <f t="shared" si="99"/>
        <v>0</v>
      </c>
      <c r="M274" s="1259">
        <f t="shared" si="99"/>
        <v>0</v>
      </c>
      <c r="N274" s="1259">
        <f t="shared" si="99"/>
        <v>0</v>
      </c>
      <c r="O274" s="1260">
        <f t="shared" si="99"/>
        <v>0</v>
      </c>
      <c r="P274" s="1259">
        <f t="shared" si="99"/>
        <v>48302.43</v>
      </c>
      <c r="Q274" s="1259">
        <f t="shared" si="99"/>
        <v>62662</v>
      </c>
      <c r="R274" s="1259">
        <f t="shared" si="99"/>
        <v>63997.390800000001</v>
      </c>
      <c r="S274" s="1259">
        <f t="shared" si="99"/>
        <v>65277.338616000001</v>
      </c>
      <c r="T274" s="1261">
        <f t="shared" ref="T274:AC274" si="100">SUM(T273:T273)</f>
        <v>0</v>
      </c>
      <c r="U274" s="1259">
        <f t="shared" si="100"/>
        <v>0</v>
      </c>
      <c r="V274" s="1259">
        <f t="shared" si="100"/>
        <v>0</v>
      </c>
      <c r="W274" s="1259">
        <f t="shared" si="100"/>
        <v>0</v>
      </c>
      <c r="X274" s="1259">
        <f t="shared" si="100"/>
        <v>0</v>
      </c>
      <c r="Y274" s="1259">
        <f t="shared" si="100"/>
        <v>0</v>
      </c>
      <c r="Z274" s="1259">
        <f t="shared" si="100"/>
        <v>0</v>
      </c>
      <c r="AA274" s="1259">
        <f t="shared" si="100"/>
        <v>0</v>
      </c>
      <c r="AB274" s="1259">
        <f t="shared" si="100"/>
        <v>0</v>
      </c>
      <c r="AC274" s="1259">
        <f t="shared" si="100"/>
        <v>0</v>
      </c>
      <c r="AD274" s="81" t="str">
        <f t="shared" si="77"/>
        <v>סה"כ</v>
      </c>
      <c r="AG274" s="1213"/>
    </row>
    <row r="275" spans="3:33" ht="15.6" customHeight="1" x14ac:dyDescent="0.25">
      <c r="C275" s="1210"/>
      <c r="D275" s="1246"/>
      <c r="E275" s="667"/>
      <c r="F275" s="1263"/>
      <c r="G275" s="667">
        <f>F275/9*3</f>
        <v>0</v>
      </c>
      <c r="H275" s="667"/>
      <c r="I275" s="667"/>
      <c r="J275" s="667"/>
      <c r="K275" s="667"/>
      <c r="P275" s="608"/>
      <c r="Q275" s="608"/>
      <c r="R275" s="608"/>
      <c r="S275" s="608"/>
      <c r="W275" s="667"/>
      <c r="X275" s="961"/>
      <c r="Y275" s="81"/>
      <c r="Z275" s="1212"/>
      <c r="AA275" s="1213"/>
      <c r="AB275" s="1213"/>
      <c r="AC275" s="1212">
        <f t="shared" si="72"/>
        <v>0</v>
      </c>
      <c r="AD275" s="81" t="str">
        <f t="shared" si="77"/>
        <v/>
      </c>
      <c r="AG275" s="1213"/>
    </row>
    <row r="276" spans="3:33" ht="15.6" customHeight="1" x14ac:dyDescent="0.25">
      <c r="C276" s="1210">
        <v>836000.43099999998</v>
      </c>
      <c r="D276" s="689" t="s">
        <v>784</v>
      </c>
      <c r="E276" s="667">
        <v>4000</v>
      </c>
      <c r="F276" s="667">
        <v>0</v>
      </c>
      <c r="G276" s="667">
        <f>F276/11</f>
        <v>0</v>
      </c>
      <c r="H276" s="667">
        <f>F276+G276</f>
        <v>0</v>
      </c>
      <c r="I276" s="667">
        <v>4000</v>
      </c>
      <c r="J276" s="667">
        <v>0</v>
      </c>
      <c r="K276" s="667">
        <v>4000</v>
      </c>
      <c r="P276" s="608">
        <v>0</v>
      </c>
      <c r="Q276" s="608">
        <f>P276/9*12</f>
        <v>0</v>
      </c>
      <c r="R276" s="1225">
        <v>4000</v>
      </c>
      <c r="S276" s="1225">
        <v>4000</v>
      </c>
      <c r="W276" s="667">
        <v>4000</v>
      </c>
      <c r="X276" s="961"/>
      <c r="Y276" s="81">
        <v>4000</v>
      </c>
      <c r="Z276" s="1212"/>
      <c r="AA276" s="1213"/>
      <c r="AB276" s="1213"/>
      <c r="AC276" s="1212">
        <f t="shared" si="72"/>
        <v>0</v>
      </c>
      <c r="AG276" s="1213"/>
    </row>
    <row r="277" spans="3:33" ht="15.6" customHeight="1" x14ac:dyDescent="0.25">
      <c r="C277" s="1210">
        <v>836000.43200000003</v>
      </c>
      <c r="D277" s="689" t="s">
        <v>785</v>
      </c>
      <c r="E277" s="667">
        <v>4000</v>
      </c>
      <c r="F277" s="667">
        <v>4230</v>
      </c>
      <c r="G277" s="667">
        <f>F277/11</f>
        <v>384.54545454545456</v>
      </c>
      <c r="H277" s="667">
        <f>F277+G277</f>
        <v>4614.545454545455</v>
      </c>
      <c r="I277" s="667">
        <v>4000</v>
      </c>
      <c r="J277" s="667">
        <v>308</v>
      </c>
      <c r="K277" s="667">
        <v>4000</v>
      </c>
      <c r="P277" s="608">
        <v>604</v>
      </c>
      <c r="Q277" s="608">
        <v>1084</v>
      </c>
      <c r="R277" s="1225">
        <v>4000</v>
      </c>
      <c r="S277" s="1225">
        <v>4000</v>
      </c>
      <c r="W277" s="667">
        <v>4000</v>
      </c>
      <c r="X277" s="961"/>
      <c r="Y277" s="81">
        <v>4000</v>
      </c>
      <c r="Z277" s="81"/>
      <c r="AA277" s="1213"/>
      <c r="AB277" s="1213"/>
      <c r="AC277" s="1212">
        <f t="shared" si="72"/>
        <v>0</v>
      </c>
      <c r="AG277" s="1213"/>
    </row>
    <row r="278" spans="3:33" ht="15.6" customHeight="1" x14ac:dyDescent="0.25">
      <c r="C278" s="1210">
        <v>836000.82</v>
      </c>
      <c r="D278" s="689" t="s">
        <v>786</v>
      </c>
      <c r="E278" s="610">
        <v>75000</v>
      </c>
      <c r="F278" s="667">
        <v>73507</v>
      </c>
      <c r="G278" s="667">
        <f>F278/11</f>
        <v>6682.454545454545</v>
      </c>
      <c r="H278" s="667">
        <f>F278+G278</f>
        <v>80189.454545454544</v>
      </c>
      <c r="I278" s="610">
        <v>75000</v>
      </c>
      <c r="J278" s="610">
        <v>37034</v>
      </c>
      <c r="K278" s="667">
        <f>J278*2</f>
        <v>74068</v>
      </c>
      <c r="P278" s="608">
        <v>55552</v>
      </c>
      <c r="Q278" s="608">
        <f>P278/9*12</f>
        <v>74069.333333333328</v>
      </c>
      <c r="R278" s="1225">
        <v>74068</v>
      </c>
      <c r="S278" s="1225">
        <v>74068</v>
      </c>
      <c r="W278" s="610">
        <v>75000</v>
      </c>
      <c r="X278" s="961"/>
      <c r="Y278" s="81"/>
      <c r="Z278" s="1212"/>
      <c r="AA278" s="1213"/>
      <c r="AB278" s="1213"/>
      <c r="AC278" s="1212">
        <f t="shared" si="72"/>
        <v>-932</v>
      </c>
      <c r="AG278" s="1213"/>
    </row>
    <row r="279" spans="3:33" ht="15.6" customHeight="1" x14ac:dyDescent="0.25">
      <c r="C279" s="1275" t="s">
        <v>787</v>
      </c>
      <c r="D279" s="1232" t="s">
        <v>788</v>
      </c>
      <c r="E279" s="1259">
        <f t="shared" ref="E279:S279" si="101">SUM(E276:E278)</f>
        <v>83000</v>
      </c>
      <c r="F279" s="1259">
        <f t="shared" si="101"/>
        <v>77737</v>
      </c>
      <c r="G279" s="1259">
        <f t="shared" si="101"/>
        <v>7067</v>
      </c>
      <c r="H279" s="1259">
        <f t="shared" si="101"/>
        <v>84804</v>
      </c>
      <c r="I279" s="1259">
        <f t="shared" si="101"/>
        <v>83000</v>
      </c>
      <c r="J279" s="1259">
        <f t="shared" si="101"/>
        <v>37342</v>
      </c>
      <c r="K279" s="1259">
        <f t="shared" si="101"/>
        <v>82068</v>
      </c>
      <c r="L279" s="1259">
        <f t="shared" si="101"/>
        <v>0</v>
      </c>
      <c r="M279" s="1259">
        <f t="shared" si="101"/>
        <v>0</v>
      </c>
      <c r="N279" s="1259">
        <f t="shared" si="101"/>
        <v>0</v>
      </c>
      <c r="O279" s="1260">
        <f t="shared" si="101"/>
        <v>0</v>
      </c>
      <c r="P279" s="1259">
        <f t="shared" si="101"/>
        <v>56156</v>
      </c>
      <c r="Q279" s="1259">
        <f t="shared" si="101"/>
        <v>75153.333333333328</v>
      </c>
      <c r="R279" s="1259">
        <f t="shared" si="101"/>
        <v>82068</v>
      </c>
      <c r="S279" s="1259">
        <f t="shared" si="101"/>
        <v>82068</v>
      </c>
      <c r="T279" s="1261">
        <f t="shared" ref="T279:AC279" si="102">SUM(T276:T278)</f>
        <v>0</v>
      </c>
      <c r="U279" s="1259">
        <f t="shared" si="102"/>
        <v>0</v>
      </c>
      <c r="V279" s="1259">
        <f t="shared" si="102"/>
        <v>0</v>
      </c>
      <c r="W279" s="1259">
        <f t="shared" si="102"/>
        <v>83000</v>
      </c>
      <c r="X279" s="1259">
        <f t="shared" si="102"/>
        <v>0</v>
      </c>
      <c r="Y279" s="1259">
        <f t="shared" si="102"/>
        <v>8000</v>
      </c>
      <c r="Z279" s="1259">
        <f t="shared" si="102"/>
        <v>0</v>
      </c>
      <c r="AA279" s="1259">
        <f t="shared" si="102"/>
        <v>0</v>
      </c>
      <c r="AB279" s="1259">
        <f t="shared" si="102"/>
        <v>0</v>
      </c>
      <c r="AC279" s="1259">
        <f t="shared" si="102"/>
        <v>-932</v>
      </c>
      <c r="AD279" s="81" t="str">
        <f t="shared" si="77"/>
        <v>סה"כ</v>
      </c>
      <c r="AG279" s="81"/>
    </row>
    <row r="280" spans="3:33" ht="15.6" customHeight="1" x14ac:dyDescent="0.25">
      <c r="C280" s="1210"/>
      <c r="D280" s="1246"/>
      <c r="E280" s="667"/>
      <c r="F280" s="1263"/>
      <c r="G280" s="667">
        <f>F280/9*3</f>
        <v>0</v>
      </c>
      <c r="H280" s="667"/>
      <c r="I280" s="667"/>
      <c r="J280" s="667"/>
      <c r="K280" s="667"/>
      <c r="P280" s="608"/>
      <c r="Q280" s="608"/>
      <c r="R280" s="608"/>
      <c r="S280" s="608"/>
      <c r="W280" s="667"/>
      <c r="X280" s="961"/>
      <c r="Y280" s="81"/>
      <c r="Z280" s="81"/>
      <c r="AA280" s="81"/>
      <c r="AB280" s="81"/>
      <c r="AC280" s="1212">
        <f t="shared" si="72"/>
        <v>0</v>
      </c>
      <c r="AD280" s="81" t="str">
        <f t="shared" si="77"/>
        <v/>
      </c>
      <c r="AG280" s="81"/>
    </row>
    <row r="281" spans="3:33" s="1226" customFormat="1" ht="15.6" customHeight="1" x14ac:dyDescent="0.25">
      <c r="C281" s="1238" t="s">
        <v>789</v>
      </c>
      <c r="D281" s="1239" t="s">
        <v>790</v>
      </c>
      <c r="E281" s="695">
        <f t="shared" ref="E281:S281" si="103">E274+E279</f>
        <v>142330</v>
      </c>
      <c r="F281" s="695">
        <f t="shared" si="103"/>
        <v>127851</v>
      </c>
      <c r="G281" s="695">
        <f t="shared" si="103"/>
        <v>17089.8</v>
      </c>
      <c r="H281" s="695">
        <f t="shared" si="103"/>
        <v>144940.79999999999</v>
      </c>
      <c r="I281" s="695">
        <f t="shared" si="103"/>
        <v>143000</v>
      </c>
      <c r="J281" s="695">
        <f t="shared" si="103"/>
        <v>69996</v>
      </c>
      <c r="K281" s="695">
        <f t="shared" si="103"/>
        <v>142068</v>
      </c>
      <c r="L281" s="695">
        <f t="shared" si="103"/>
        <v>0</v>
      </c>
      <c r="M281" s="695">
        <f t="shared" si="103"/>
        <v>0</v>
      </c>
      <c r="N281" s="695">
        <f t="shared" si="103"/>
        <v>0</v>
      </c>
      <c r="O281" s="1271">
        <f t="shared" si="103"/>
        <v>0</v>
      </c>
      <c r="P281" s="695">
        <f t="shared" si="103"/>
        <v>104458.43</v>
      </c>
      <c r="Q281" s="695">
        <f t="shared" si="103"/>
        <v>137815.33333333331</v>
      </c>
      <c r="R281" s="695">
        <f t="shared" si="103"/>
        <v>146065.39079999999</v>
      </c>
      <c r="S281" s="695">
        <f t="shared" si="103"/>
        <v>147345.33861599999</v>
      </c>
      <c r="T281" s="1272">
        <f t="shared" ref="T281:AC281" si="104">T274+T279</f>
        <v>0</v>
      </c>
      <c r="U281" s="695">
        <f t="shared" si="104"/>
        <v>0</v>
      </c>
      <c r="V281" s="695">
        <f t="shared" si="104"/>
        <v>0</v>
      </c>
      <c r="W281" s="695">
        <f t="shared" si="104"/>
        <v>83000</v>
      </c>
      <c r="X281" s="695">
        <f t="shared" si="104"/>
        <v>0</v>
      </c>
      <c r="Y281" s="695">
        <f t="shared" si="104"/>
        <v>8000</v>
      </c>
      <c r="Z281" s="695">
        <f t="shared" si="104"/>
        <v>0</v>
      </c>
      <c r="AA281" s="695">
        <f t="shared" si="104"/>
        <v>0</v>
      </c>
      <c r="AB281" s="695">
        <f t="shared" si="104"/>
        <v>0</v>
      </c>
      <c r="AC281" s="695">
        <f t="shared" si="104"/>
        <v>-932</v>
      </c>
      <c r="AD281" s="81" t="str">
        <f t="shared" si="77"/>
        <v>סה"כ</v>
      </c>
      <c r="AG281" s="81"/>
    </row>
    <row r="282" spans="3:33" s="1276" customFormat="1" ht="15.6" customHeight="1" x14ac:dyDescent="0.25">
      <c r="C282" s="1210"/>
      <c r="D282" s="1246"/>
      <c r="E282" s="667"/>
      <c r="F282" s="1277"/>
      <c r="G282" s="667">
        <f>F282/9*3</f>
        <v>0</v>
      </c>
      <c r="H282" s="667"/>
      <c r="I282" s="667"/>
      <c r="J282" s="667"/>
      <c r="K282" s="667"/>
      <c r="P282" s="608"/>
      <c r="Q282" s="608"/>
      <c r="R282" s="608"/>
      <c r="S282" s="608"/>
      <c r="W282" s="667"/>
      <c r="X282" s="961"/>
      <c r="Y282" s="81"/>
      <c r="Z282" s="81"/>
      <c r="AA282" s="81"/>
      <c r="AB282" s="81"/>
      <c r="AC282" s="1212">
        <f t="shared" si="72"/>
        <v>0</v>
      </c>
      <c r="AD282" s="81" t="str">
        <f t="shared" si="77"/>
        <v/>
      </c>
      <c r="AG282" s="81"/>
    </row>
    <row r="283" spans="3:33" ht="15.6" customHeight="1" x14ac:dyDescent="0.25">
      <c r="C283" s="1215">
        <v>841000.11</v>
      </c>
      <c r="D283" s="1216" t="s">
        <v>791</v>
      </c>
      <c r="E283" s="1217">
        <f>רווחה!J25</f>
        <v>1300418</v>
      </c>
      <c r="F283" s="1217">
        <v>1099520</v>
      </c>
      <c r="G283" s="1217">
        <f t="shared" ref="G283:G293" si="105">F283/10*2</f>
        <v>219904</v>
      </c>
      <c r="H283" s="1217">
        <f t="shared" ref="H283:H293" si="106">F283+G283</f>
        <v>1319424</v>
      </c>
      <c r="I283" s="1217">
        <v>1904933</v>
      </c>
      <c r="J283" s="1217">
        <v>727440</v>
      </c>
      <c r="K283" s="1217">
        <f>רווחה!L25</f>
        <v>1988533</v>
      </c>
      <c r="L283" s="1209"/>
      <c r="M283" s="1209"/>
      <c r="N283" s="1209"/>
      <c r="O283" s="1209"/>
      <c r="P283" s="1217">
        <f>שכר!AG380</f>
        <v>1085068.6499999999</v>
      </c>
      <c r="Q283" s="1217">
        <v>1419507</v>
      </c>
      <c r="R283" s="1217">
        <f>שכר!AM380</f>
        <v>1673042.4268666666</v>
      </c>
      <c r="S283" s="1217">
        <f t="shared" ref="S283" si="107">R283*1.02</f>
        <v>1706503.275404</v>
      </c>
      <c r="W283" s="1217">
        <f>רווחה!AI25</f>
        <v>0</v>
      </c>
      <c r="X283" s="961"/>
      <c r="Y283" s="81"/>
      <c r="Z283" s="1212"/>
      <c r="AA283" s="81"/>
      <c r="AB283" s="1213"/>
      <c r="AC283" s="1212">
        <f t="shared" si="72"/>
        <v>83600</v>
      </c>
      <c r="AD283" s="81" t="str">
        <f t="shared" si="77"/>
        <v>8410</v>
      </c>
      <c r="AG283" s="81"/>
    </row>
    <row r="284" spans="3:33" ht="15.6" customHeight="1" x14ac:dyDescent="0.25">
      <c r="C284" s="1210">
        <v>841000.41</v>
      </c>
      <c r="D284" s="689" t="s">
        <v>792</v>
      </c>
      <c r="E284" s="667">
        <v>28000</v>
      </c>
      <c r="F284" s="667">
        <v>25740</v>
      </c>
      <c r="G284" s="667">
        <f t="shared" si="105"/>
        <v>5148</v>
      </c>
      <c r="H284" s="667">
        <f t="shared" si="106"/>
        <v>30888</v>
      </c>
      <c r="I284" s="667">
        <v>28000</v>
      </c>
      <c r="J284" s="667">
        <v>14040</v>
      </c>
      <c r="K284" s="667">
        <v>28000</v>
      </c>
      <c r="P284" s="608">
        <v>21060</v>
      </c>
      <c r="Q284" s="608">
        <v>25740</v>
      </c>
      <c r="R284" s="608">
        <v>28000</v>
      </c>
      <c r="S284" s="608">
        <f t="shared" ref="S284:S291" si="108">R284</f>
        <v>28000</v>
      </c>
      <c r="W284" s="667">
        <v>28000</v>
      </c>
      <c r="X284" s="961"/>
      <c r="Y284" s="81"/>
      <c r="Z284" s="1212"/>
      <c r="AA284" s="81"/>
      <c r="AB284" s="1213"/>
      <c r="AC284" s="1212">
        <f t="shared" ref="AC284:AC349" si="109">K284-I284</f>
        <v>0</v>
      </c>
      <c r="AG284" s="81"/>
    </row>
    <row r="285" spans="3:33" s="1230" customFormat="1" ht="15.6" customHeight="1" x14ac:dyDescent="0.25">
      <c r="C285" s="1210">
        <v>841000.43099999998</v>
      </c>
      <c r="D285" s="689" t="s">
        <v>793</v>
      </c>
      <c r="E285" s="667">
        <v>38000</v>
      </c>
      <c r="F285" s="667">
        <v>27799</v>
      </c>
      <c r="G285" s="667">
        <f t="shared" si="105"/>
        <v>5559.8</v>
      </c>
      <c r="H285" s="667">
        <f t="shared" si="106"/>
        <v>33358.800000000003</v>
      </c>
      <c r="I285" s="667">
        <v>38000</v>
      </c>
      <c r="J285" s="667">
        <v>10440</v>
      </c>
      <c r="K285" s="667">
        <v>38000</v>
      </c>
      <c r="P285" s="608">
        <v>21506</v>
      </c>
      <c r="Q285" s="608">
        <v>26778</v>
      </c>
      <c r="R285" s="608">
        <v>29000</v>
      </c>
      <c r="S285" s="608">
        <f t="shared" si="108"/>
        <v>29000</v>
      </c>
      <c r="W285" s="667">
        <v>38000</v>
      </c>
      <c r="X285" s="961"/>
      <c r="Y285" s="81"/>
      <c r="Z285" s="1212"/>
      <c r="AA285" s="1213"/>
      <c r="AB285" s="1213"/>
      <c r="AC285" s="1212">
        <f t="shared" si="109"/>
        <v>0</v>
      </c>
      <c r="AD285" s="81"/>
      <c r="AG285" s="1213"/>
    </row>
    <row r="286" spans="3:33" s="1230" customFormat="1" ht="15.6" customHeight="1" x14ac:dyDescent="0.25">
      <c r="C286" s="1210">
        <v>841000.43200000003</v>
      </c>
      <c r="D286" s="689" t="s">
        <v>794</v>
      </c>
      <c r="E286" s="667">
        <v>12000</v>
      </c>
      <c r="F286" s="667">
        <v>18254</v>
      </c>
      <c r="G286" s="667">
        <f t="shared" si="105"/>
        <v>3650.8</v>
      </c>
      <c r="H286" s="667">
        <f t="shared" si="106"/>
        <v>21904.799999999999</v>
      </c>
      <c r="I286" s="667">
        <v>12200</v>
      </c>
      <c r="J286" s="667">
        <v>2461</v>
      </c>
      <c r="K286" s="667">
        <v>12200</v>
      </c>
      <c r="P286" s="608">
        <v>5242</v>
      </c>
      <c r="Q286" s="608">
        <v>6166</v>
      </c>
      <c r="R286" s="608">
        <v>7000</v>
      </c>
      <c r="S286" s="608">
        <f t="shared" si="108"/>
        <v>7000</v>
      </c>
      <c r="W286" s="667">
        <v>12200</v>
      </c>
      <c r="X286" s="961"/>
      <c r="Y286" s="81"/>
      <c r="Z286" s="1212"/>
      <c r="AA286" s="1213"/>
      <c r="AB286" s="1213"/>
      <c r="AC286" s="1212">
        <f t="shared" si="109"/>
        <v>0</v>
      </c>
      <c r="AD286" s="81"/>
      <c r="AG286" s="1213"/>
    </row>
    <row r="287" spans="3:33" s="1230" customFormat="1" ht="15.6" customHeight="1" x14ac:dyDescent="0.25">
      <c r="C287" s="1210">
        <v>841000.47</v>
      </c>
      <c r="D287" s="689" t="s">
        <v>795</v>
      </c>
      <c r="E287" s="667">
        <v>4800</v>
      </c>
      <c r="F287" s="667">
        <v>6436</v>
      </c>
      <c r="G287" s="667">
        <f t="shared" si="105"/>
        <v>1287.2</v>
      </c>
      <c r="H287" s="667">
        <f t="shared" si="106"/>
        <v>7723.2</v>
      </c>
      <c r="I287" s="667">
        <v>4000</v>
      </c>
      <c r="J287" s="667">
        <v>400</v>
      </c>
      <c r="K287" s="667">
        <v>4000</v>
      </c>
      <c r="L287" s="1235"/>
      <c r="M287" s="1235"/>
      <c r="N287" s="1235"/>
      <c r="O287" s="1235"/>
      <c r="P287" s="608">
        <v>2600</v>
      </c>
      <c r="Q287" s="608">
        <v>4550</v>
      </c>
      <c r="R287" s="608">
        <v>3500</v>
      </c>
      <c r="S287" s="608">
        <f t="shared" si="108"/>
        <v>3500</v>
      </c>
      <c r="W287" s="667">
        <v>4000</v>
      </c>
      <c r="X287" s="961"/>
      <c r="Y287" s="81"/>
      <c r="Z287" s="1212"/>
      <c r="AA287" s="1213"/>
      <c r="AB287" s="1213"/>
      <c r="AC287" s="1212">
        <f t="shared" si="109"/>
        <v>0</v>
      </c>
      <c r="AD287" s="81"/>
      <c r="AG287" s="1213"/>
    </row>
    <row r="288" spans="3:33" s="1230" customFormat="1" ht="15.6" customHeight="1" x14ac:dyDescent="0.25">
      <c r="C288" s="1210">
        <v>841000.52</v>
      </c>
      <c r="D288" s="1237" t="s">
        <v>796</v>
      </c>
      <c r="E288" s="610">
        <v>5220</v>
      </c>
      <c r="F288" s="667">
        <v>0</v>
      </c>
      <c r="G288" s="667">
        <f t="shared" si="105"/>
        <v>0</v>
      </c>
      <c r="H288" s="667">
        <f t="shared" si="106"/>
        <v>0</v>
      </c>
      <c r="I288" s="667">
        <f>435*12</f>
        <v>5220</v>
      </c>
      <c r="J288" s="667">
        <v>0</v>
      </c>
      <c r="K288" s="667">
        <v>5220</v>
      </c>
      <c r="P288" s="608">
        <v>0</v>
      </c>
      <c r="Q288" s="608">
        <v>6204</v>
      </c>
      <c r="R288" s="608">
        <v>0</v>
      </c>
      <c r="S288" s="608">
        <f t="shared" si="108"/>
        <v>0</v>
      </c>
      <c r="W288" s="667">
        <v>5220</v>
      </c>
      <c r="X288" s="961"/>
      <c r="Y288" s="81"/>
      <c r="Z288" s="81"/>
      <c r="AA288" s="81"/>
      <c r="AB288" s="81"/>
      <c r="AC288" s="1212">
        <f t="shared" si="109"/>
        <v>0</v>
      </c>
      <c r="AD288" s="81"/>
      <c r="AG288" s="81"/>
    </row>
    <row r="289" spans="3:33" s="1230" customFormat="1" ht="15.6" customHeight="1" x14ac:dyDescent="0.25">
      <c r="C289" s="1210">
        <v>841000.54</v>
      </c>
      <c r="D289" s="689" t="s">
        <v>797</v>
      </c>
      <c r="E289" s="667">
        <v>15000</v>
      </c>
      <c r="F289" s="667">
        <v>13725</v>
      </c>
      <c r="G289" s="667">
        <f t="shared" si="105"/>
        <v>2745</v>
      </c>
      <c r="H289" s="667">
        <f t="shared" si="106"/>
        <v>16470</v>
      </c>
      <c r="I289" s="667">
        <v>15000</v>
      </c>
      <c r="J289" s="667">
        <v>9504</v>
      </c>
      <c r="K289" s="667">
        <v>15000</v>
      </c>
      <c r="P289" s="608">
        <v>14600</v>
      </c>
      <c r="Q289" s="608">
        <v>20737</v>
      </c>
      <c r="R289" s="608">
        <v>20000</v>
      </c>
      <c r="S289" s="608">
        <f t="shared" si="108"/>
        <v>20000</v>
      </c>
      <c r="W289" s="667">
        <v>15000</v>
      </c>
      <c r="X289" s="961"/>
      <c r="Y289" s="81"/>
      <c r="Z289" s="1212"/>
      <c r="AA289" s="1213"/>
      <c r="AB289" s="1213"/>
      <c r="AC289" s="1212">
        <f t="shared" si="109"/>
        <v>0</v>
      </c>
      <c r="AD289" s="81"/>
      <c r="AG289" s="1213"/>
    </row>
    <row r="290" spans="3:33" s="1230" customFormat="1" ht="15.6" customHeight="1" x14ac:dyDescent="0.25">
      <c r="C290" s="1210">
        <v>841101.84</v>
      </c>
      <c r="D290" s="689" t="s">
        <v>3268</v>
      </c>
      <c r="E290" s="667"/>
      <c r="F290" s="667"/>
      <c r="G290" s="667"/>
      <c r="H290" s="667"/>
      <c r="I290" s="667"/>
      <c r="J290" s="667"/>
      <c r="K290" s="667"/>
      <c r="P290" s="608"/>
      <c r="Q290" s="608"/>
      <c r="R290" s="608">
        <v>127946</v>
      </c>
      <c r="S290" s="608">
        <f t="shared" si="108"/>
        <v>127946</v>
      </c>
      <c r="W290" s="667"/>
      <c r="X290" s="961"/>
      <c r="Y290" s="81"/>
      <c r="Z290" s="1212"/>
      <c r="AA290" s="1213"/>
      <c r="AB290" s="1213"/>
      <c r="AC290" s="1212"/>
      <c r="AD290" s="81"/>
      <c r="AG290" s="1213"/>
    </row>
    <row r="291" spans="3:33" s="1230" customFormat="1" ht="15.6" customHeight="1" x14ac:dyDescent="0.25">
      <c r="C291" s="1210">
        <v>841000.84</v>
      </c>
      <c r="D291" s="689" t="s">
        <v>798</v>
      </c>
      <c r="E291" s="667">
        <v>16615</v>
      </c>
      <c r="F291" s="667">
        <v>0</v>
      </c>
      <c r="G291" s="667">
        <f t="shared" si="105"/>
        <v>0</v>
      </c>
      <c r="H291" s="667">
        <f t="shared" si="106"/>
        <v>0</v>
      </c>
      <c r="I291" s="667">
        <v>16615</v>
      </c>
      <c r="J291" s="667">
        <v>2925</v>
      </c>
      <c r="K291" s="667">
        <v>16615</v>
      </c>
      <c r="P291" s="608">
        <v>2925</v>
      </c>
      <c r="Q291" s="608">
        <v>11700</v>
      </c>
      <c r="R291" s="608">
        <v>10000</v>
      </c>
      <c r="S291" s="608">
        <f t="shared" si="108"/>
        <v>10000</v>
      </c>
      <c r="W291" s="667">
        <v>16615</v>
      </c>
      <c r="X291" s="961"/>
      <c r="Y291" s="81"/>
      <c r="Z291" s="1212"/>
      <c r="AA291" s="1213"/>
      <c r="AB291" s="1213"/>
      <c r="AC291" s="1212">
        <f t="shared" si="109"/>
        <v>0</v>
      </c>
      <c r="AD291" s="81"/>
      <c r="AG291" s="1213"/>
    </row>
    <row r="292" spans="3:33" s="1230" customFormat="1" ht="15.6" customHeight="1" x14ac:dyDescent="0.25">
      <c r="C292" s="1215">
        <v>841001.11</v>
      </c>
      <c r="D292" s="1216" t="s">
        <v>799</v>
      </c>
      <c r="E292" s="1217">
        <f>רווחה!J30</f>
        <v>396916</v>
      </c>
      <c r="F292" s="1217">
        <v>335572</v>
      </c>
      <c r="G292" s="1217">
        <f t="shared" si="105"/>
        <v>67114.399999999994</v>
      </c>
      <c r="H292" s="1217">
        <f t="shared" si="106"/>
        <v>402686.4</v>
      </c>
      <c r="I292" s="1217">
        <v>384000</v>
      </c>
      <c r="J292" s="1217">
        <v>215977</v>
      </c>
      <c r="K292" s="1217">
        <f>רווחה!L30</f>
        <v>390000</v>
      </c>
      <c r="P292" s="1217">
        <f>שכר!AG385</f>
        <v>344027.58000000007</v>
      </c>
      <c r="Q292" s="1217">
        <v>455878</v>
      </c>
      <c r="R292" s="1217">
        <f>שכר!AM385</f>
        <v>479160.99360000005</v>
      </c>
      <c r="S292" s="1217">
        <f t="shared" ref="S292:S293" si="110">R292*1.02</f>
        <v>488744.21347200003</v>
      </c>
      <c r="W292" s="1217">
        <f>רווחה!AI30</f>
        <v>0</v>
      </c>
      <c r="X292" s="961"/>
      <c r="Y292" s="81"/>
      <c r="Z292" s="1212"/>
      <c r="AA292" s="1213"/>
      <c r="AB292" s="81"/>
      <c r="AC292" s="1212">
        <f t="shared" si="109"/>
        <v>6000</v>
      </c>
      <c r="AD292" s="81" t="str">
        <f t="shared" ref="AD292:AD357" si="111">LEFT(C292,4)</f>
        <v>8410</v>
      </c>
      <c r="AG292" s="1213"/>
    </row>
    <row r="293" spans="3:33" s="1230" customFormat="1" ht="15.6" customHeight="1" x14ac:dyDescent="0.25">
      <c r="C293" s="1215">
        <v>841300.11</v>
      </c>
      <c r="D293" s="1216" t="s">
        <v>800</v>
      </c>
      <c r="E293" s="1217">
        <f>רווחה!J34</f>
        <v>130760</v>
      </c>
      <c r="F293" s="1217">
        <v>121875</v>
      </c>
      <c r="G293" s="1217">
        <f t="shared" si="105"/>
        <v>24375</v>
      </c>
      <c r="H293" s="1217">
        <f t="shared" si="106"/>
        <v>146250</v>
      </c>
      <c r="I293" s="1217">
        <v>160000</v>
      </c>
      <c r="J293" s="1217">
        <v>31431</v>
      </c>
      <c r="K293" s="1217">
        <f>רווחה!L34</f>
        <v>87285</v>
      </c>
      <c r="L293" s="1235"/>
      <c r="M293" s="1235"/>
      <c r="N293" s="1235"/>
      <c r="O293" s="1235"/>
      <c r="P293" s="1217">
        <f>שכר!AG389</f>
        <v>85307.209999999992</v>
      </c>
      <c r="Q293" s="1217">
        <v>90220</v>
      </c>
      <c r="R293" s="1217">
        <f>שכר!AM389</f>
        <v>60000</v>
      </c>
      <c r="S293" s="1217">
        <f t="shared" si="110"/>
        <v>61200</v>
      </c>
      <c r="W293" s="1217">
        <f>רווחה!AI34</f>
        <v>0</v>
      </c>
      <c r="X293" s="961"/>
      <c r="Y293" s="81"/>
      <c r="Z293" s="1212"/>
      <c r="AA293" s="81"/>
      <c r="AB293" s="1213"/>
      <c r="AC293" s="1212">
        <f t="shared" si="109"/>
        <v>-72715</v>
      </c>
      <c r="AD293" s="81" t="str">
        <f t="shared" si="111"/>
        <v>8413</v>
      </c>
      <c r="AG293" s="81"/>
    </row>
    <row r="294" spans="3:33" ht="15.6" customHeight="1" x14ac:dyDescent="0.25">
      <c r="C294" s="1231" t="s">
        <v>801</v>
      </c>
      <c r="D294" s="1232" t="s">
        <v>802</v>
      </c>
      <c r="E294" s="1259">
        <f t="shared" ref="E294:S294" si="112">SUM(E283:E293)</f>
        <v>1947729</v>
      </c>
      <c r="F294" s="1259">
        <f t="shared" si="112"/>
        <v>1648921</v>
      </c>
      <c r="G294" s="1259">
        <f t="shared" si="112"/>
        <v>329784.19999999995</v>
      </c>
      <c r="H294" s="1259">
        <f t="shared" si="112"/>
        <v>1978705.2000000002</v>
      </c>
      <c r="I294" s="1259">
        <f t="shared" si="112"/>
        <v>2567968</v>
      </c>
      <c r="J294" s="1259">
        <f t="shared" si="112"/>
        <v>1014618</v>
      </c>
      <c r="K294" s="1259">
        <f t="shared" si="112"/>
        <v>2584853</v>
      </c>
      <c r="L294" s="1259">
        <f t="shared" si="112"/>
        <v>0</v>
      </c>
      <c r="M294" s="1259">
        <f t="shared" si="112"/>
        <v>0</v>
      </c>
      <c r="N294" s="1259">
        <f t="shared" si="112"/>
        <v>0</v>
      </c>
      <c r="O294" s="1260">
        <f t="shared" si="112"/>
        <v>0</v>
      </c>
      <c r="P294" s="1259">
        <f t="shared" si="112"/>
        <v>1582336.44</v>
      </c>
      <c r="Q294" s="1259">
        <f t="shared" si="112"/>
        <v>2067480</v>
      </c>
      <c r="R294" s="1259">
        <f t="shared" si="112"/>
        <v>2437649.4204666666</v>
      </c>
      <c r="S294" s="1259">
        <f t="shared" si="112"/>
        <v>2481893.488876</v>
      </c>
      <c r="T294" s="1261">
        <f t="shared" ref="T294:AC294" si="113">SUM(T283:T293)</f>
        <v>0</v>
      </c>
      <c r="U294" s="1259">
        <f t="shared" si="113"/>
        <v>0</v>
      </c>
      <c r="V294" s="1259">
        <f t="shared" si="113"/>
        <v>0</v>
      </c>
      <c r="W294" s="1259">
        <f t="shared" si="113"/>
        <v>119035</v>
      </c>
      <c r="X294" s="1259">
        <f t="shared" si="113"/>
        <v>0</v>
      </c>
      <c r="Y294" s="1259">
        <f t="shared" si="113"/>
        <v>0</v>
      </c>
      <c r="Z294" s="1259">
        <f t="shared" si="113"/>
        <v>0</v>
      </c>
      <c r="AA294" s="1259">
        <f t="shared" si="113"/>
        <v>0</v>
      </c>
      <c r="AB294" s="1259">
        <f t="shared" si="113"/>
        <v>0</v>
      </c>
      <c r="AC294" s="1259">
        <f t="shared" si="113"/>
        <v>16885</v>
      </c>
      <c r="AD294" s="81" t="str">
        <f t="shared" si="111"/>
        <v>סה"כ</v>
      </c>
      <c r="AG294" s="1213"/>
    </row>
    <row r="295" spans="3:33" ht="15.6" customHeight="1" x14ac:dyDescent="0.25">
      <c r="C295" s="1210"/>
      <c r="D295" s="689"/>
      <c r="E295" s="667"/>
      <c r="F295" s="1263"/>
      <c r="G295" s="667">
        <f>F295/9*3</f>
        <v>0</v>
      </c>
      <c r="H295" s="667"/>
      <c r="I295" s="667"/>
      <c r="J295" s="667"/>
      <c r="K295" s="667"/>
      <c r="P295" s="608"/>
      <c r="Q295" s="608"/>
      <c r="R295" s="608"/>
      <c r="S295" s="608"/>
      <c r="W295" s="667"/>
      <c r="X295" s="961"/>
      <c r="Y295" s="81"/>
      <c r="Z295" s="81"/>
      <c r="AA295" s="1213"/>
      <c r="AB295" s="1213"/>
      <c r="AC295" s="1212">
        <f t="shared" si="109"/>
        <v>0</v>
      </c>
      <c r="AD295" s="81" t="str">
        <f t="shared" si="111"/>
        <v/>
      </c>
      <c r="AG295" s="1213"/>
    </row>
    <row r="296" spans="3:33" ht="15.6" customHeight="1" x14ac:dyDescent="0.25">
      <c r="C296" s="1210"/>
      <c r="D296" s="689"/>
      <c r="E296" s="667"/>
      <c r="F296" s="1263"/>
      <c r="G296" s="667">
        <f>F296/9*3</f>
        <v>0</v>
      </c>
      <c r="H296" s="667"/>
      <c r="I296" s="667"/>
      <c r="J296" s="667"/>
      <c r="K296" s="667"/>
      <c r="P296" s="608"/>
      <c r="Q296" s="608"/>
      <c r="R296" s="608"/>
      <c r="S296" s="608"/>
      <c r="W296" s="667"/>
      <c r="X296" s="961"/>
      <c r="Y296" s="81"/>
      <c r="Z296" s="1212"/>
      <c r="AA296" s="81"/>
      <c r="AB296" s="1213"/>
      <c r="AC296" s="1212">
        <f t="shared" si="109"/>
        <v>0</v>
      </c>
      <c r="AD296" s="81" t="str">
        <f t="shared" si="111"/>
        <v/>
      </c>
      <c r="AG296" s="81"/>
    </row>
    <row r="297" spans="3:33" ht="15.6" customHeight="1" x14ac:dyDescent="0.25">
      <c r="C297" s="1210">
        <v>842200.84</v>
      </c>
      <c r="D297" s="689" t="s">
        <v>803</v>
      </c>
      <c r="E297" s="667">
        <f>40400+9333</f>
        <v>49733</v>
      </c>
      <c r="F297" s="948">
        <v>57790</v>
      </c>
      <c r="G297" s="667">
        <f>F297/10*2</f>
        <v>11558</v>
      </c>
      <c r="H297" s="667">
        <f>F297+G297</f>
        <v>69348</v>
      </c>
      <c r="I297" s="667">
        <v>49733</v>
      </c>
      <c r="J297" s="667">
        <v>4294</v>
      </c>
      <c r="K297" s="667">
        <v>49733</v>
      </c>
      <c r="L297" s="1209"/>
      <c r="M297" s="1209"/>
      <c r="N297" s="1209"/>
      <c r="O297" s="1209"/>
      <c r="P297" s="608">
        <v>70868</v>
      </c>
      <c r="Q297" s="608">
        <v>78636</v>
      </c>
      <c r="R297" s="608">
        <v>37733</v>
      </c>
      <c r="S297" s="608">
        <f>R297</f>
        <v>37733</v>
      </c>
      <c r="W297" s="667">
        <v>49733</v>
      </c>
      <c r="X297" s="961"/>
      <c r="Y297" s="81"/>
      <c r="Z297" s="1212"/>
      <c r="AA297" s="1213"/>
      <c r="AB297" s="1213"/>
      <c r="AC297" s="1212">
        <f t="shared" si="109"/>
        <v>0</v>
      </c>
      <c r="AG297" s="1213"/>
    </row>
    <row r="298" spans="3:33" ht="15.6" customHeight="1" x14ac:dyDescent="0.25">
      <c r="C298" s="1210">
        <v>842200.84100000001</v>
      </c>
      <c r="D298" s="689" t="s">
        <v>804</v>
      </c>
      <c r="E298" s="667">
        <v>40000</v>
      </c>
      <c r="F298" s="1263">
        <v>0</v>
      </c>
      <c r="G298" s="667">
        <f>F298/10*2</f>
        <v>0</v>
      </c>
      <c r="H298" s="667">
        <f>F298+G298</f>
        <v>0</v>
      </c>
      <c r="I298" s="667">
        <v>40000</v>
      </c>
      <c r="J298" s="667">
        <v>86537</v>
      </c>
      <c r="K298" s="667">
        <f>J298*2</f>
        <v>173074</v>
      </c>
      <c r="P298" s="608">
        <v>84601</v>
      </c>
      <c r="Q298" s="608">
        <v>84604</v>
      </c>
      <c r="R298" s="608">
        <v>13333</v>
      </c>
      <c r="S298" s="608">
        <f>R298</f>
        <v>13333</v>
      </c>
      <c r="W298" s="667">
        <v>40000</v>
      </c>
      <c r="X298" s="961"/>
      <c r="Y298" s="81"/>
      <c r="Z298" s="1212"/>
      <c r="AA298" s="1213"/>
      <c r="AB298" s="1213"/>
      <c r="AC298" s="1212">
        <f t="shared" si="109"/>
        <v>133074</v>
      </c>
      <c r="AG298" s="1213"/>
    </row>
    <row r="299" spans="3:33" ht="15.6" customHeight="1" x14ac:dyDescent="0.25">
      <c r="C299" s="1210">
        <v>842200.84199999995</v>
      </c>
      <c r="D299" s="689" t="s">
        <v>805</v>
      </c>
      <c r="E299" s="667">
        <f>39733+10000</f>
        <v>49733</v>
      </c>
      <c r="F299" s="667">
        <v>64418</v>
      </c>
      <c r="G299" s="667">
        <f>F299/10*2</f>
        <v>12883.6</v>
      </c>
      <c r="H299" s="667">
        <f>F299+G299</f>
        <v>77301.600000000006</v>
      </c>
      <c r="I299" s="667">
        <v>49733</v>
      </c>
      <c r="J299" s="667">
        <v>24118</v>
      </c>
      <c r="K299" s="667">
        <v>49733</v>
      </c>
      <c r="P299" s="608">
        <v>35506</v>
      </c>
      <c r="Q299" s="608">
        <v>52853</v>
      </c>
      <c r="R299" s="608">
        <v>36667</v>
      </c>
      <c r="S299" s="608">
        <f>R299</f>
        <v>36667</v>
      </c>
      <c r="W299" s="667">
        <v>49733</v>
      </c>
      <c r="X299" s="961"/>
      <c r="Y299" s="81"/>
      <c r="Z299" s="81"/>
      <c r="AA299" s="81"/>
      <c r="AB299" s="81"/>
      <c r="AC299" s="1212">
        <f t="shared" si="109"/>
        <v>0</v>
      </c>
      <c r="AG299" s="81"/>
    </row>
    <row r="300" spans="3:33" ht="15.6" customHeight="1" x14ac:dyDescent="0.25">
      <c r="C300" s="1210">
        <v>842400.78</v>
      </c>
      <c r="D300" s="689" t="s">
        <v>3265</v>
      </c>
      <c r="E300" s="667">
        <f>262000-רווחה!J9-רווחה!J13</f>
        <v>47506</v>
      </c>
      <c r="F300" s="1263">
        <v>0</v>
      </c>
      <c r="G300" s="667">
        <f>F300/10*2</f>
        <v>0</v>
      </c>
      <c r="H300" s="667">
        <f>F300+G300</f>
        <v>0</v>
      </c>
      <c r="I300" s="667">
        <v>72000</v>
      </c>
      <c r="J300" s="667">
        <v>0</v>
      </c>
      <c r="K300" s="667">
        <v>72000</v>
      </c>
      <c r="P300" s="608">
        <v>0</v>
      </c>
      <c r="Q300" s="608">
        <f>P300/9*12</f>
        <v>0</v>
      </c>
      <c r="R300" s="667">
        <f>202000-80000-60000</f>
        <v>62000</v>
      </c>
      <c r="S300" s="608">
        <v>62000</v>
      </c>
      <c r="W300" s="667">
        <v>72000</v>
      </c>
      <c r="X300" s="961"/>
      <c r="Y300" s="81"/>
      <c r="Z300" s="81"/>
      <c r="AA300" s="81"/>
      <c r="AB300" s="81"/>
      <c r="AC300" s="1212">
        <f t="shared" si="109"/>
        <v>0</v>
      </c>
      <c r="AG300" s="81"/>
    </row>
    <row r="301" spans="3:33" ht="15.6" customHeight="1" x14ac:dyDescent="0.25">
      <c r="C301" s="1231" t="s">
        <v>807</v>
      </c>
      <c r="D301" s="1232" t="s">
        <v>808</v>
      </c>
      <c r="E301" s="1259">
        <f t="shared" ref="E301:S301" si="114">SUM(E297:E300)</f>
        <v>186972</v>
      </c>
      <c r="F301" s="1259">
        <f t="shared" si="114"/>
        <v>122208</v>
      </c>
      <c r="G301" s="1259">
        <f t="shared" si="114"/>
        <v>24441.599999999999</v>
      </c>
      <c r="H301" s="1259">
        <f t="shared" si="114"/>
        <v>146649.60000000001</v>
      </c>
      <c r="I301" s="1259">
        <f t="shared" si="114"/>
        <v>211466</v>
      </c>
      <c r="J301" s="1259">
        <f t="shared" si="114"/>
        <v>114949</v>
      </c>
      <c r="K301" s="1259">
        <f t="shared" si="114"/>
        <v>344540</v>
      </c>
      <c r="L301" s="1259">
        <f t="shared" si="114"/>
        <v>0</v>
      </c>
      <c r="M301" s="1259">
        <f t="shared" si="114"/>
        <v>0</v>
      </c>
      <c r="N301" s="1259">
        <f t="shared" si="114"/>
        <v>0</v>
      </c>
      <c r="O301" s="1260">
        <f t="shared" si="114"/>
        <v>0</v>
      </c>
      <c r="P301" s="1259">
        <f t="shared" si="114"/>
        <v>190975</v>
      </c>
      <c r="Q301" s="1259">
        <f t="shared" si="114"/>
        <v>216093</v>
      </c>
      <c r="R301" s="1259">
        <f t="shared" si="114"/>
        <v>149733</v>
      </c>
      <c r="S301" s="1259">
        <f t="shared" si="114"/>
        <v>149733</v>
      </c>
      <c r="T301" s="1261">
        <f t="shared" ref="T301:AC301" si="115">SUM(T297:T300)</f>
        <v>0</v>
      </c>
      <c r="U301" s="1259">
        <f t="shared" si="115"/>
        <v>0</v>
      </c>
      <c r="V301" s="1259">
        <f t="shared" si="115"/>
        <v>0</v>
      </c>
      <c r="W301" s="1259">
        <f t="shared" si="115"/>
        <v>211466</v>
      </c>
      <c r="X301" s="1259">
        <f t="shared" si="115"/>
        <v>0</v>
      </c>
      <c r="Y301" s="1259">
        <f t="shared" si="115"/>
        <v>0</v>
      </c>
      <c r="Z301" s="1259">
        <f t="shared" si="115"/>
        <v>0</v>
      </c>
      <c r="AA301" s="1259">
        <f t="shared" si="115"/>
        <v>0</v>
      </c>
      <c r="AB301" s="1259">
        <f t="shared" si="115"/>
        <v>0</v>
      </c>
      <c r="AC301" s="1259">
        <f t="shared" si="115"/>
        <v>133074</v>
      </c>
      <c r="AD301" s="81" t="str">
        <f t="shared" si="111"/>
        <v>סה"כ</v>
      </c>
      <c r="AG301" s="1213"/>
    </row>
    <row r="302" spans="3:33" ht="15.6" customHeight="1" x14ac:dyDescent="0.25">
      <c r="C302" s="1210"/>
      <c r="D302" s="689"/>
      <c r="E302" s="667"/>
      <c r="F302" s="1263"/>
      <c r="G302" s="667">
        <f>F302/9*3</f>
        <v>0</v>
      </c>
      <c r="H302" s="667"/>
      <c r="I302" s="667"/>
      <c r="J302" s="667"/>
      <c r="K302" s="667"/>
      <c r="P302" s="608"/>
      <c r="Q302" s="608"/>
      <c r="R302" s="608"/>
      <c r="S302" s="608"/>
      <c r="W302" s="667"/>
      <c r="X302" s="961"/>
      <c r="Y302" s="81"/>
      <c r="Z302" s="81"/>
      <c r="AA302" s="81"/>
      <c r="AB302" s="81"/>
      <c r="AC302" s="1212">
        <f t="shared" si="109"/>
        <v>0</v>
      </c>
      <c r="AD302" s="81" t="str">
        <f t="shared" si="111"/>
        <v/>
      </c>
      <c r="AG302" s="81"/>
    </row>
    <row r="303" spans="3:33" ht="15.6" customHeight="1" x14ac:dyDescent="0.25">
      <c r="C303" s="1210">
        <v>843500.43099999998</v>
      </c>
      <c r="D303" s="689" t="s">
        <v>809</v>
      </c>
      <c r="E303" s="667">
        <v>1500</v>
      </c>
      <c r="F303" s="667">
        <v>556</v>
      </c>
      <c r="G303" s="667">
        <f t="shared" ref="G303:G312" si="116">F303/10*2</f>
        <v>111.2</v>
      </c>
      <c r="H303" s="667">
        <f t="shared" ref="H303:H313" si="117">F303+G303</f>
        <v>667.2</v>
      </c>
      <c r="I303" s="667">
        <v>1500</v>
      </c>
      <c r="J303" s="667">
        <v>0</v>
      </c>
      <c r="K303" s="667">
        <v>1500</v>
      </c>
      <c r="P303" s="608">
        <v>0</v>
      </c>
      <c r="Q303" s="608">
        <f>P303/9*12</f>
        <v>0</v>
      </c>
      <c r="R303" s="608">
        <v>0</v>
      </c>
      <c r="S303" s="608">
        <f t="shared" ref="S303:S313" si="118">R303</f>
        <v>0</v>
      </c>
      <c r="W303" s="667">
        <v>1500</v>
      </c>
      <c r="X303" s="961"/>
      <c r="Y303" s="81"/>
      <c r="Z303" s="1212"/>
      <c r="AA303" s="1213"/>
      <c r="AB303" s="1213"/>
      <c r="AC303" s="1212">
        <f t="shared" si="109"/>
        <v>0</v>
      </c>
      <c r="AG303" s="1213"/>
    </row>
    <row r="304" spans="3:33" ht="15.6" customHeight="1" x14ac:dyDescent="0.25">
      <c r="C304" s="1210">
        <v>843500.51100000006</v>
      </c>
      <c r="D304" s="689" t="s">
        <v>810</v>
      </c>
      <c r="E304" s="667">
        <f>1000*12</f>
        <v>12000</v>
      </c>
      <c r="F304" s="667">
        <v>10400</v>
      </c>
      <c r="G304" s="667">
        <f t="shared" si="116"/>
        <v>2080</v>
      </c>
      <c r="H304" s="667">
        <f t="shared" si="117"/>
        <v>12480</v>
      </c>
      <c r="I304" s="667">
        <v>12000</v>
      </c>
      <c r="J304" s="667">
        <v>0</v>
      </c>
      <c r="K304" s="667">
        <v>12000</v>
      </c>
      <c r="P304" s="608">
        <v>8500</v>
      </c>
      <c r="Q304" s="608">
        <v>8499</v>
      </c>
      <c r="R304" s="608">
        <v>10000</v>
      </c>
      <c r="S304" s="608">
        <f t="shared" si="118"/>
        <v>10000</v>
      </c>
      <c r="W304" s="667">
        <v>12000</v>
      </c>
      <c r="X304" s="961"/>
      <c r="Y304" s="81"/>
      <c r="Z304" s="81"/>
      <c r="AA304" s="81"/>
      <c r="AB304" s="81"/>
      <c r="AC304" s="1212">
        <f t="shared" si="109"/>
        <v>0</v>
      </c>
      <c r="AG304" s="81"/>
    </row>
    <row r="305" spans="3:33" ht="15.6" customHeight="1" x14ac:dyDescent="0.25">
      <c r="C305" s="1210">
        <v>843500.84</v>
      </c>
      <c r="D305" s="689" t="s">
        <v>811</v>
      </c>
      <c r="E305" s="667">
        <v>18667</v>
      </c>
      <c r="F305" s="667">
        <v>10412</v>
      </c>
      <c r="G305" s="667">
        <f t="shared" si="116"/>
        <v>2082.4</v>
      </c>
      <c r="H305" s="667">
        <f t="shared" si="117"/>
        <v>12494.4</v>
      </c>
      <c r="I305" s="667">
        <v>18677</v>
      </c>
      <c r="J305" s="667">
        <v>0</v>
      </c>
      <c r="K305" s="667">
        <v>18677</v>
      </c>
      <c r="P305" s="608">
        <v>49834</v>
      </c>
      <c r="Q305" s="608">
        <v>53089</v>
      </c>
      <c r="R305" s="608">
        <v>25333</v>
      </c>
      <c r="S305" s="608">
        <f t="shared" si="118"/>
        <v>25333</v>
      </c>
      <c r="W305" s="667">
        <v>18677</v>
      </c>
      <c r="X305" s="961"/>
      <c r="Y305" s="81"/>
      <c r="Z305" s="81"/>
      <c r="AA305" s="81"/>
      <c r="AB305" s="81"/>
      <c r="AC305" s="1212">
        <f t="shared" si="109"/>
        <v>0</v>
      </c>
      <c r="AG305" s="81"/>
    </row>
    <row r="306" spans="3:33" ht="15.6" customHeight="1" x14ac:dyDescent="0.25">
      <c r="C306" s="1210">
        <v>843500.41</v>
      </c>
      <c r="D306" s="689" t="s">
        <v>812</v>
      </c>
      <c r="E306" s="667">
        <f>2000*12</f>
        <v>24000</v>
      </c>
      <c r="F306" s="667">
        <v>10000</v>
      </c>
      <c r="G306" s="667">
        <f t="shared" si="116"/>
        <v>2000</v>
      </c>
      <c r="H306" s="667">
        <f t="shared" si="117"/>
        <v>12000</v>
      </c>
      <c r="I306" s="667">
        <v>0</v>
      </c>
      <c r="J306" s="667">
        <v>0</v>
      </c>
      <c r="K306" s="667">
        <v>0</v>
      </c>
      <c r="P306" s="608">
        <v>0</v>
      </c>
      <c r="Q306" s="608">
        <f>P306/9*12</f>
        <v>0</v>
      </c>
      <c r="R306" s="608">
        <v>0</v>
      </c>
      <c r="S306" s="608">
        <f t="shared" si="118"/>
        <v>0</v>
      </c>
      <c r="W306" s="673">
        <v>0</v>
      </c>
      <c r="X306" s="961"/>
      <c r="Y306" s="81"/>
      <c r="Z306" s="1212"/>
      <c r="AA306" s="1213"/>
      <c r="AB306" s="1213"/>
      <c r="AC306" s="1212">
        <f t="shared" si="109"/>
        <v>0</v>
      </c>
      <c r="AG306" s="1213"/>
    </row>
    <row r="307" spans="3:33" ht="15.6" customHeight="1" x14ac:dyDescent="0.25">
      <c r="C307" s="1236">
        <v>843500.84100000001</v>
      </c>
      <c r="D307" s="1237" t="s">
        <v>813</v>
      </c>
      <c r="E307" s="610">
        <f>106533-106533*0.5</f>
        <v>53266.5</v>
      </c>
      <c r="F307" s="610">
        <v>0</v>
      </c>
      <c r="G307" s="667">
        <f t="shared" si="116"/>
        <v>0</v>
      </c>
      <c r="H307" s="667">
        <f t="shared" si="117"/>
        <v>0</v>
      </c>
      <c r="I307" s="610">
        <v>53267</v>
      </c>
      <c r="J307" s="610">
        <v>0</v>
      </c>
      <c r="K307" s="667">
        <v>53267</v>
      </c>
      <c r="P307" s="608">
        <v>0</v>
      </c>
      <c r="Q307" s="610">
        <v>0</v>
      </c>
      <c r="R307" s="610">
        <f>109733*0.75</f>
        <v>82299.75</v>
      </c>
      <c r="S307" s="608">
        <f t="shared" si="118"/>
        <v>82299.75</v>
      </c>
      <c r="W307" s="610">
        <v>53267</v>
      </c>
      <c r="X307" s="961"/>
      <c r="Y307" s="81"/>
      <c r="Z307" s="81"/>
      <c r="AA307" s="81"/>
      <c r="AB307" s="81"/>
      <c r="AC307" s="1212">
        <f t="shared" si="109"/>
        <v>0</v>
      </c>
      <c r="AG307" s="81"/>
    </row>
    <row r="308" spans="3:33" ht="15.6" customHeight="1" x14ac:dyDescent="0.25">
      <c r="C308" s="1210">
        <v>843500.84199999995</v>
      </c>
      <c r="D308" s="689" t="s">
        <v>814</v>
      </c>
      <c r="E308" s="667">
        <v>1000</v>
      </c>
      <c r="F308" s="667">
        <v>0</v>
      </c>
      <c r="G308" s="667">
        <f t="shared" si="116"/>
        <v>0</v>
      </c>
      <c r="H308" s="667">
        <f t="shared" si="117"/>
        <v>0</v>
      </c>
      <c r="I308" s="667">
        <v>1000</v>
      </c>
      <c r="J308" s="667">
        <v>0</v>
      </c>
      <c r="K308" s="667">
        <v>1000</v>
      </c>
      <c r="P308" s="608">
        <v>0</v>
      </c>
      <c r="Q308" s="610">
        <v>7812</v>
      </c>
      <c r="R308" s="610">
        <f>18667</f>
        <v>18667</v>
      </c>
      <c r="S308" s="608">
        <f t="shared" si="118"/>
        <v>18667</v>
      </c>
      <c r="W308" s="667">
        <v>1000</v>
      </c>
      <c r="X308" s="961"/>
      <c r="Y308" s="81"/>
      <c r="Z308" s="81"/>
      <c r="AA308" s="81"/>
      <c r="AB308" s="81"/>
      <c r="AC308" s="1212">
        <f t="shared" si="109"/>
        <v>0</v>
      </c>
      <c r="AG308" s="81"/>
    </row>
    <row r="309" spans="3:33" ht="15.6" customHeight="1" x14ac:dyDescent="0.25">
      <c r="C309" s="1210">
        <v>843500.84299999999</v>
      </c>
      <c r="D309" s="689" t="s">
        <v>815</v>
      </c>
      <c r="E309" s="667">
        <v>68500</v>
      </c>
      <c r="F309" s="667">
        <v>0</v>
      </c>
      <c r="G309" s="667">
        <f t="shared" si="116"/>
        <v>0</v>
      </c>
      <c r="H309" s="667">
        <f t="shared" si="117"/>
        <v>0</v>
      </c>
      <c r="I309" s="667">
        <v>68500</v>
      </c>
      <c r="J309" s="667">
        <v>0</v>
      </c>
      <c r="K309" s="667">
        <v>68500</v>
      </c>
      <c r="P309" s="608">
        <v>0</v>
      </c>
      <c r="Q309" s="610"/>
      <c r="R309" s="610">
        <v>17000</v>
      </c>
      <c r="S309" s="608">
        <f t="shared" si="118"/>
        <v>17000</v>
      </c>
      <c r="W309" s="667">
        <v>68500</v>
      </c>
      <c r="X309" s="961"/>
      <c r="Y309" s="81"/>
      <c r="Z309" s="81"/>
      <c r="AA309" s="81"/>
      <c r="AB309" s="81"/>
      <c r="AC309" s="1212">
        <f t="shared" si="109"/>
        <v>0</v>
      </c>
      <c r="AG309" s="81"/>
    </row>
    <row r="310" spans="3:33" ht="15.6" customHeight="1" x14ac:dyDescent="0.25">
      <c r="C310" s="1210">
        <v>843500.84400000004</v>
      </c>
      <c r="D310" s="689" t="s">
        <v>816</v>
      </c>
      <c r="E310" s="667">
        <v>210400</v>
      </c>
      <c r="F310" s="667">
        <f>174906+5177</f>
        <v>180083</v>
      </c>
      <c r="G310" s="667">
        <f t="shared" si="116"/>
        <v>36016.6</v>
      </c>
      <c r="H310" s="667">
        <f t="shared" si="117"/>
        <v>216099.6</v>
      </c>
      <c r="I310" s="667">
        <v>210400</v>
      </c>
      <c r="J310" s="667">
        <v>18063</v>
      </c>
      <c r="K310" s="667">
        <v>210400</v>
      </c>
      <c r="L310" s="1209"/>
      <c r="M310" s="1209"/>
      <c r="N310" s="1209"/>
      <c r="O310" s="1209"/>
      <c r="P310" s="608">
        <v>51028</v>
      </c>
      <c r="Q310" s="608">
        <f>41104+51028</f>
        <v>92132</v>
      </c>
      <c r="R310" s="608">
        <v>318267</v>
      </c>
      <c r="S310" s="608">
        <f t="shared" si="118"/>
        <v>318267</v>
      </c>
      <c r="W310" s="667">
        <v>210400</v>
      </c>
      <c r="X310" s="961"/>
      <c r="Y310" s="81"/>
      <c r="Z310" s="1212"/>
      <c r="AA310" s="81"/>
      <c r="AB310" s="1213"/>
      <c r="AC310" s="1212">
        <f t="shared" si="109"/>
        <v>0</v>
      </c>
      <c r="AG310" s="81"/>
    </row>
    <row r="311" spans="3:33" ht="15.6" customHeight="1" x14ac:dyDescent="0.25">
      <c r="C311" s="1210">
        <v>843500.84499999997</v>
      </c>
      <c r="D311" s="689" t="s">
        <v>817</v>
      </c>
      <c r="E311" s="667">
        <v>291194</v>
      </c>
      <c r="F311" s="667">
        <v>25161</v>
      </c>
      <c r="G311" s="667">
        <f t="shared" si="116"/>
        <v>5032.2</v>
      </c>
      <c r="H311" s="667">
        <f t="shared" si="117"/>
        <v>30193.200000000001</v>
      </c>
      <c r="I311" s="667">
        <v>291194</v>
      </c>
      <c r="J311" s="667">
        <v>0</v>
      </c>
      <c r="K311" s="667">
        <v>291194</v>
      </c>
      <c r="P311" s="608">
        <v>59038</v>
      </c>
      <c r="Q311" s="608">
        <v>91207</v>
      </c>
      <c r="R311" s="608">
        <v>87180</v>
      </c>
      <c r="S311" s="608">
        <f t="shared" si="118"/>
        <v>87180</v>
      </c>
      <c r="W311" s="667">
        <v>291194</v>
      </c>
      <c r="X311" s="961"/>
      <c r="Y311" s="81"/>
      <c r="Z311" s="81"/>
      <c r="AA311" s="81"/>
      <c r="AB311" s="81"/>
      <c r="AC311" s="1212">
        <f t="shared" si="109"/>
        <v>0</v>
      </c>
      <c r="AG311" s="81"/>
    </row>
    <row r="312" spans="3:33" ht="15.6" customHeight="1" x14ac:dyDescent="0.25">
      <c r="C312" s="1210">
        <v>843500.84600000002</v>
      </c>
      <c r="D312" s="689" t="s">
        <v>818</v>
      </c>
      <c r="E312" s="610">
        <v>206557</v>
      </c>
      <c r="F312" s="667">
        <v>41668</v>
      </c>
      <c r="G312" s="667">
        <f t="shared" si="116"/>
        <v>8333.6</v>
      </c>
      <c r="H312" s="667">
        <f t="shared" si="117"/>
        <v>50001.599999999999</v>
      </c>
      <c r="I312" s="610">
        <v>206557</v>
      </c>
      <c r="J312" s="610">
        <v>113845</v>
      </c>
      <c r="K312" s="667">
        <v>206557</v>
      </c>
      <c r="P312" s="608">
        <v>227516</v>
      </c>
      <c r="Q312" s="608">
        <v>272594</v>
      </c>
      <c r="R312" s="608">
        <f>227475*0.75-16185</f>
        <v>154421.25</v>
      </c>
      <c r="S312" s="608">
        <f t="shared" si="118"/>
        <v>154421.25</v>
      </c>
      <c r="W312" s="610">
        <v>206557</v>
      </c>
      <c r="X312" s="961"/>
      <c r="Y312" s="81"/>
      <c r="Z312" s="81"/>
      <c r="AA312" s="81"/>
      <c r="AB312" s="81"/>
      <c r="AC312" s="1212">
        <f t="shared" si="109"/>
        <v>0</v>
      </c>
      <c r="AG312" s="81"/>
    </row>
    <row r="313" spans="3:33" ht="15.6" customHeight="1" x14ac:dyDescent="0.25">
      <c r="C313" s="1210">
        <v>843500.84699999995</v>
      </c>
      <c r="D313" s="689" t="s">
        <v>819</v>
      </c>
      <c r="E313" s="667">
        <v>646800</v>
      </c>
      <c r="F313" s="667">
        <v>898648</v>
      </c>
      <c r="G313" s="667">
        <v>0</v>
      </c>
      <c r="H313" s="667">
        <f t="shared" si="117"/>
        <v>898648</v>
      </c>
      <c r="I313" s="667">
        <v>646800</v>
      </c>
      <c r="J313" s="667">
        <v>530401</v>
      </c>
      <c r="K313" s="667">
        <v>646800</v>
      </c>
      <c r="P313" s="608">
        <v>842377</v>
      </c>
      <c r="Q313" s="608">
        <f>227645+842377</f>
        <v>1070022</v>
      </c>
      <c r="R313" s="608">
        <v>907596</v>
      </c>
      <c r="S313" s="608">
        <f t="shared" si="118"/>
        <v>907596</v>
      </c>
      <c r="W313" s="667">
        <v>646800</v>
      </c>
      <c r="X313" s="961"/>
      <c r="Y313" s="81"/>
      <c r="Z313" s="1212"/>
      <c r="AA313" s="1213"/>
      <c r="AB313" s="1213"/>
      <c r="AC313" s="1212">
        <f t="shared" si="109"/>
        <v>0</v>
      </c>
      <c r="AG313" s="1213"/>
    </row>
    <row r="314" spans="3:33" ht="15.6" customHeight="1" x14ac:dyDescent="0.25">
      <c r="C314" s="1278" t="s">
        <v>820</v>
      </c>
      <c r="D314" s="1279" t="s">
        <v>821</v>
      </c>
      <c r="E314" s="1280">
        <f t="shared" ref="E314:S314" si="119">SUM(E303:E313)</f>
        <v>1533884.5</v>
      </c>
      <c r="F314" s="1280">
        <f t="shared" si="119"/>
        <v>1176928</v>
      </c>
      <c r="G314" s="1280">
        <f t="shared" si="119"/>
        <v>55655.999999999993</v>
      </c>
      <c r="H314" s="1280">
        <f t="shared" si="119"/>
        <v>1232584</v>
      </c>
      <c r="I314" s="1280">
        <f t="shared" si="119"/>
        <v>1509895</v>
      </c>
      <c r="J314" s="1280">
        <f t="shared" si="119"/>
        <v>662309</v>
      </c>
      <c r="K314" s="1280">
        <f t="shared" si="119"/>
        <v>1509895</v>
      </c>
      <c r="L314" s="1280">
        <f t="shared" si="119"/>
        <v>0</v>
      </c>
      <c r="M314" s="1280">
        <f t="shared" si="119"/>
        <v>0</v>
      </c>
      <c r="N314" s="1280">
        <f t="shared" si="119"/>
        <v>0</v>
      </c>
      <c r="O314" s="1281">
        <f t="shared" si="119"/>
        <v>0</v>
      </c>
      <c r="P314" s="1280">
        <f t="shared" si="119"/>
        <v>1238293</v>
      </c>
      <c r="Q314" s="1280">
        <f t="shared" si="119"/>
        <v>1595355</v>
      </c>
      <c r="R314" s="1280">
        <f t="shared" si="119"/>
        <v>1620764</v>
      </c>
      <c r="S314" s="1280">
        <f t="shared" si="119"/>
        <v>1620764</v>
      </c>
      <c r="T314" s="1282">
        <f t="shared" ref="T314:AC314" si="120">SUM(T303:T313)</f>
        <v>0</v>
      </c>
      <c r="U314" s="1280">
        <f t="shared" si="120"/>
        <v>0</v>
      </c>
      <c r="V314" s="1280">
        <f t="shared" si="120"/>
        <v>0</v>
      </c>
      <c r="W314" s="1280">
        <f t="shared" si="120"/>
        <v>1509895</v>
      </c>
      <c r="X314" s="1280">
        <f t="shared" si="120"/>
        <v>0</v>
      </c>
      <c r="Y314" s="1280">
        <f t="shared" si="120"/>
        <v>0</v>
      </c>
      <c r="Z314" s="1280">
        <f t="shared" si="120"/>
        <v>0</v>
      </c>
      <c r="AA314" s="1280">
        <f t="shared" si="120"/>
        <v>0</v>
      </c>
      <c r="AB314" s="1280">
        <f t="shared" si="120"/>
        <v>0</v>
      </c>
      <c r="AC314" s="1280">
        <f t="shared" si="120"/>
        <v>0</v>
      </c>
      <c r="AD314" s="81" t="str">
        <f t="shared" si="111"/>
        <v>סה"כ</v>
      </c>
      <c r="AG314" s="81"/>
    </row>
    <row r="315" spans="3:33" ht="15.6" customHeight="1" x14ac:dyDescent="0.25">
      <c r="C315" s="1210"/>
      <c r="D315" s="1246"/>
      <c r="E315" s="667"/>
      <c r="F315" s="1263"/>
      <c r="G315" s="667">
        <f>F315/9*3</f>
        <v>0</v>
      </c>
      <c r="H315" s="667"/>
      <c r="I315" s="667"/>
      <c r="J315" s="667"/>
      <c r="K315" s="667"/>
      <c r="P315" s="608"/>
      <c r="Q315" s="608"/>
      <c r="R315" s="608"/>
      <c r="S315" s="608"/>
      <c r="W315" s="667"/>
      <c r="X315" s="961"/>
      <c r="Y315" s="81"/>
      <c r="Z315" s="81"/>
      <c r="AA315" s="81"/>
      <c r="AB315" s="81"/>
      <c r="AC315" s="1212">
        <f t="shared" si="109"/>
        <v>0</v>
      </c>
      <c r="AD315" s="81" t="str">
        <f t="shared" si="111"/>
        <v/>
      </c>
      <c r="AG315" s="81"/>
    </row>
    <row r="316" spans="3:33" ht="15.6" customHeight="1" x14ac:dyDescent="0.25">
      <c r="C316" s="1210">
        <v>844300.41</v>
      </c>
      <c r="D316" s="689" t="s">
        <v>822</v>
      </c>
      <c r="E316" s="667">
        <f>2000*12</f>
        <v>24000</v>
      </c>
      <c r="F316" s="667">
        <v>22000</v>
      </c>
      <c r="G316" s="667">
        <f>F316/10*2</f>
        <v>4400</v>
      </c>
      <c r="H316" s="667">
        <f t="shared" ref="H316:H326" si="121">F316+G316</f>
        <v>26400</v>
      </c>
      <c r="I316" s="667">
        <v>24000</v>
      </c>
      <c r="J316" s="667">
        <v>12000</v>
      </c>
      <c r="K316" s="667">
        <f>J316*2</f>
        <v>24000</v>
      </c>
      <c r="P316" s="608">
        <v>18000</v>
      </c>
      <c r="Q316" s="608">
        <f>P316/9*12</f>
        <v>24000</v>
      </c>
      <c r="R316" s="608">
        <v>24000</v>
      </c>
      <c r="S316" s="608">
        <f t="shared" ref="S316:S326" si="122">R316</f>
        <v>24000</v>
      </c>
      <c r="W316" s="667">
        <v>24000</v>
      </c>
      <c r="X316" s="961"/>
      <c r="Y316" s="81"/>
      <c r="Z316" s="81"/>
      <c r="AA316" s="81"/>
      <c r="AB316" s="81"/>
      <c r="AC316" s="1212">
        <f t="shared" si="109"/>
        <v>0</v>
      </c>
      <c r="AG316" s="81"/>
    </row>
    <row r="317" spans="3:33" ht="15.6" customHeight="1" x14ac:dyDescent="0.25">
      <c r="C317" s="1210">
        <v>844300.84</v>
      </c>
      <c r="D317" s="689" t="s">
        <v>823</v>
      </c>
      <c r="E317" s="667">
        <v>53796</v>
      </c>
      <c r="F317" s="667">
        <v>90392</v>
      </c>
      <c r="G317" s="667">
        <v>0</v>
      </c>
      <c r="H317" s="667">
        <f t="shared" si="121"/>
        <v>90392</v>
      </c>
      <c r="I317" s="667">
        <v>53810</v>
      </c>
      <c r="J317" s="667">
        <v>55703</v>
      </c>
      <c r="K317" s="667">
        <f>J317*2</f>
        <v>111406</v>
      </c>
      <c r="P317" s="608">
        <v>55703</v>
      </c>
      <c r="Q317" s="608">
        <v>93299</v>
      </c>
      <c r="R317" s="608">
        <v>59172</v>
      </c>
      <c r="S317" s="608">
        <f t="shared" si="122"/>
        <v>59172</v>
      </c>
      <c r="W317" s="667">
        <v>53810</v>
      </c>
      <c r="X317" s="961"/>
      <c r="Y317" s="81"/>
      <c r="Z317" s="81"/>
      <c r="AA317" s="81"/>
      <c r="AB317" s="81"/>
      <c r="AC317" s="1212">
        <f t="shared" si="109"/>
        <v>57596</v>
      </c>
      <c r="AG317" s="81"/>
    </row>
    <row r="318" spans="3:33" ht="15.6" customHeight="1" x14ac:dyDescent="0.25">
      <c r="C318" s="1210">
        <v>844300.43</v>
      </c>
      <c r="D318" s="689" t="s">
        <v>824</v>
      </c>
      <c r="E318" s="667">
        <v>3000</v>
      </c>
      <c r="F318" s="667">
        <v>0</v>
      </c>
      <c r="G318" s="667">
        <f t="shared" ref="G318:G324" si="123">F318/10*2</f>
        <v>0</v>
      </c>
      <c r="H318" s="667">
        <f t="shared" si="121"/>
        <v>0</v>
      </c>
      <c r="I318" s="667">
        <v>3000</v>
      </c>
      <c r="J318" s="667">
        <v>0</v>
      </c>
      <c r="K318" s="667">
        <v>3000</v>
      </c>
      <c r="P318" s="608">
        <v>0</v>
      </c>
      <c r="Q318" s="608">
        <f>P318/9*12</f>
        <v>0</v>
      </c>
      <c r="R318" s="608">
        <v>0</v>
      </c>
      <c r="S318" s="608">
        <f t="shared" si="122"/>
        <v>0</v>
      </c>
      <c r="W318" s="673">
        <v>3000</v>
      </c>
      <c r="X318" s="961"/>
      <c r="Y318" s="81"/>
      <c r="Z318" s="1212"/>
      <c r="AA318" s="81"/>
      <c r="AB318" s="1213"/>
      <c r="AC318" s="1212">
        <f t="shared" si="109"/>
        <v>0</v>
      </c>
      <c r="AG318" s="81"/>
    </row>
    <row r="319" spans="3:33" ht="15.6" customHeight="1" x14ac:dyDescent="0.25">
      <c r="C319" s="1210">
        <v>844400.84</v>
      </c>
      <c r="D319" s="689" t="s">
        <v>825</v>
      </c>
      <c r="E319" s="667">
        <f>53333-53333*0.25</f>
        <v>39999.75</v>
      </c>
      <c r="F319" s="667">
        <v>0</v>
      </c>
      <c r="G319" s="667">
        <f t="shared" si="123"/>
        <v>0</v>
      </c>
      <c r="H319" s="667">
        <f t="shared" si="121"/>
        <v>0</v>
      </c>
      <c r="I319" s="667">
        <v>23000</v>
      </c>
      <c r="J319" s="667">
        <v>0</v>
      </c>
      <c r="K319" s="667">
        <v>23000</v>
      </c>
      <c r="P319" s="608">
        <v>0</v>
      </c>
      <c r="Q319" s="608">
        <f>P319/9*12</f>
        <v>0</v>
      </c>
      <c r="R319" s="608">
        <v>13333</v>
      </c>
      <c r="S319" s="608">
        <f t="shared" si="122"/>
        <v>13333</v>
      </c>
      <c r="W319" s="667">
        <v>23000</v>
      </c>
      <c r="X319" s="961"/>
      <c r="Y319" s="81"/>
      <c r="Z319" s="81"/>
      <c r="AA319" s="81"/>
      <c r="AB319" s="81"/>
      <c r="AC319" s="1212">
        <f t="shared" si="109"/>
        <v>0</v>
      </c>
      <c r="AG319" s="81"/>
    </row>
    <row r="320" spans="3:33" ht="15.6" customHeight="1" x14ac:dyDescent="0.25">
      <c r="C320" s="1210">
        <v>844400.84100000001</v>
      </c>
      <c r="D320" s="689" t="s">
        <v>826</v>
      </c>
      <c r="E320" s="667">
        <v>9333</v>
      </c>
      <c r="F320" s="667">
        <v>0</v>
      </c>
      <c r="G320" s="667">
        <f t="shared" si="123"/>
        <v>0</v>
      </c>
      <c r="H320" s="667">
        <f t="shared" si="121"/>
        <v>0</v>
      </c>
      <c r="I320" s="667">
        <v>9333</v>
      </c>
      <c r="J320" s="667">
        <v>0</v>
      </c>
      <c r="K320" s="667">
        <v>9333</v>
      </c>
      <c r="P320" s="608">
        <v>0</v>
      </c>
      <c r="Q320" s="608">
        <f>P320/9*12</f>
        <v>0</v>
      </c>
      <c r="R320" s="608">
        <v>17093</v>
      </c>
      <c r="S320" s="608">
        <f t="shared" si="122"/>
        <v>17093</v>
      </c>
      <c r="W320" s="667">
        <v>9333</v>
      </c>
      <c r="X320" s="961"/>
      <c r="Y320" s="81"/>
      <c r="Z320" s="81"/>
      <c r="AA320" s="81"/>
      <c r="AB320" s="81"/>
      <c r="AC320" s="1212">
        <f t="shared" si="109"/>
        <v>0</v>
      </c>
      <c r="AG320" s="81"/>
    </row>
    <row r="321" spans="3:33" ht="15.6" customHeight="1" x14ac:dyDescent="0.25">
      <c r="C321" s="1210">
        <v>844400.84199999995</v>
      </c>
      <c r="D321" s="689" t="s">
        <v>827</v>
      </c>
      <c r="E321" s="667">
        <v>82667</v>
      </c>
      <c r="F321" s="667">
        <v>82654</v>
      </c>
      <c r="G321" s="667">
        <f t="shared" si="123"/>
        <v>16530.8</v>
      </c>
      <c r="H321" s="667">
        <f t="shared" si="121"/>
        <v>99184.8</v>
      </c>
      <c r="I321" s="667">
        <v>82667</v>
      </c>
      <c r="J321" s="667">
        <v>61308</v>
      </c>
      <c r="K321" s="667">
        <v>82667</v>
      </c>
      <c r="P321" s="608">
        <v>90422</v>
      </c>
      <c r="Q321" s="608">
        <v>120259</v>
      </c>
      <c r="R321" s="608">
        <v>110667</v>
      </c>
      <c r="S321" s="608">
        <f t="shared" si="122"/>
        <v>110667</v>
      </c>
      <c r="W321" s="667">
        <v>82667</v>
      </c>
      <c r="X321" s="961"/>
      <c r="Y321" s="81"/>
      <c r="Z321" s="81"/>
      <c r="AA321" s="81"/>
      <c r="AB321" s="81"/>
      <c r="AC321" s="1212">
        <f t="shared" si="109"/>
        <v>0</v>
      </c>
      <c r="AG321" s="81"/>
    </row>
    <row r="322" spans="3:33" ht="15.6" customHeight="1" x14ac:dyDescent="0.25">
      <c r="C322" s="1210">
        <v>844400.84299999999</v>
      </c>
      <c r="D322" s="689" t="s">
        <v>828</v>
      </c>
      <c r="E322" s="667">
        <f>40000-40000*0.5</f>
        <v>20000</v>
      </c>
      <c r="F322" s="667">
        <v>0</v>
      </c>
      <c r="G322" s="667">
        <f t="shared" si="123"/>
        <v>0</v>
      </c>
      <c r="H322" s="667">
        <f t="shared" si="121"/>
        <v>0</v>
      </c>
      <c r="I322" s="667">
        <v>20000</v>
      </c>
      <c r="J322" s="667">
        <v>0</v>
      </c>
      <c r="K322" s="667">
        <v>20000</v>
      </c>
      <c r="P322" s="608">
        <v>0</v>
      </c>
      <c r="Q322" s="608">
        <f>P322/9*12</f>
        <v>0</v>
      </c>
      <c r="R322" s="608">
        <v>0</v>
      </c>
      <c r="S322" s="608">
        <f t="shared" si="122"/>
        <v>0</v>
      </c>
      <c r="W322" s="667">
        <v>20000</v>
      </c>
      <c r="X322" s="961"/>
      <c r="Y322" s="81"/>
      <c r="Z322" s="81"/>
      <c r="AA322" s="81"/>
      <c r="AB322" s="81"/>
      <c r="AC322" s="1212">
        <f t="shared" si="109"/>
        <v>0</v>
      </c>
      <c r="AG322" s="81"/>
    </row>
    <row r="323" spans="3:33" ht="15.6" customHeight="1" x14ac:dyDescent="0.25">
      <c r="C323" s="1210">
        <v>844400.84400000004</v>
      </c>
      <c r="D323" s="689" t="s">
        <v>829</v>
      </c>
      <c r="E323" s="667">
        <v>31333</v>
      </c>
      <c r="F323" s="667">
        <v>30811</v>
      </c>
      <c r="G323" s="667">
        <f t="shared" si="123"/>
        <v>6162.2</v>
      </c>
      <c r="H323" s="667">
        <f t="shared" si="121"/>
        <v>36973.199999999997</v>
      </c>
      <c r="I323" s="667">
        <v>31333</v>
      </c>
      <c r="J323" s="667">
        <v>18390</v>
      </c>
      <c r="K323" s="667">
        <v>31333</v>
      </c>
      <c r="L323" s="1209"/>
      <c r="M323" s="1209"/>
      <c r="N323" s="1209"/>
      <c r="O323" s="1209"/>
      <c r="P323" s="608">
        <v>35257</v>
      </c>
      <c r="Q323" s="608">
        <v>55512</v>
      </c>
      <c r="R323" s="608">
        <v>0</v>
      </c>
      <c r="S323" s="608">
        <f t="shared" si="122"/>
        <v>0</v>
      </c>
      <c r="W323" s="667">
        <v>31333</v>
      </c>
      <c r="X323" s="961"/>
      <c r="Y323" s="81"/>
      <c r="Z323" s="1212"/>
      <c r="AA323" s="81"/>
      <c r="AB323" s="1213"/>
      <c r="AC323" s="1212">
        <f t="shared" si="109"/>
        <v>0</v>
      </c>
      <c r="AG323" s="81"/>
    </row>
    <row r="324" spans="3:33" ht="15.6" customHeight="1" x14ac:dyDescent="0.25">
      <c r="C324" s="1210">
        <v>844400.84499999997</v>
      </c>
      <c r="D324" s="689" t="s">
        <v>830</v>
      </c>
      <c r="E324" s="667">
        <v>0</v>
      </c>
      <c r="F324" s="667">
        <v>0</v>
      </c>
      <c r="G324" s="667">
        <f t="shared" si="123"/>
        <v>0</v>
      </c>
      <c r="H324" s="667">
        <f t="shared" si="121"/>
        <v>0</v>
      </c>
      <c r="I324" s="667">
        <v>0</v>
      </c>
      <c r="J324" s="667">
        <v>0</v>
      </c>
      <c r="K324" s="667">
        <f>J324*2</f>
        <v>0</v>
      </c>
      <c r="L324" s="1201" t="s">
        <v>386</v>
      </c>
      <c r="P324" s="608">
        <v>0</v>
      </c>
      <c r="Q324" s="608">
        <f>P324/9*12</f>
        <v>0</v>
      </c>
      <c r="R324" s="608">
        <f>0.75*65241</f>
        <v>48930.75</v>
      </c>
      <c r="S324" s="608">
        <f t="shared" si="122"/>
        <v>48930.75</v>
      </c>
      <c r="W324" s="673">
        <v>0</v>
      </c>
      <c r="X324" s="961"/>
      <c r="Y324" s="81"/>
      <c r="Z324" s="1212"/>
      <c r="AA324" s="1213"/>
      <c r="AB324" s="1213"/>
      <c r="AC324" s="1212">
        <f t="shared" si="109"/>
        <v>0</v>
      </c>
      <c r="AG324" s="1213"/>
    </row>
    <row r="325" spans="3:33" ht="15.6" customHeight="1" x14ac:dyDescent="0.25">
      <c r="C325" s="1210">
        <v>844400.84600000002</v>
      </c>
      <c r="D325" s="689" t="s">
        <v>831</v>
      </c>
      <c r="E325" s="667">
        <v>153200</v>
      </c>
      <c r="F325" s="667">
        <v>210059</v>
      </c>
      <c r="G325" s="667">
        <v>0</v>
      </c>
      <c r="H325" s="667">
        <f t="shared" si="121"/>
        <v>210059</v>
      </c>
      <c r="I325" s="667">
        <v>153200</v>
      </c>
      <c r="J325" s="667">
        <v>186662</v>
      </c>
      <c r="K325" s="667">
        <v>153200</v>
      </c>
      <c r="P325" s="608">
        <v>301851</v>
      </c>
      <c r="Q325" s="608">
        <v>390427</v>
      </c>
      <c r="R325" s="608">
        <v>169867</v>
      </c>
      <c r="S325" s="608">
        <f t="shared" si="122"/>
        <v>169867</v>
      </c>
      <c r="W325" s="667">
        <v>153200</v>
      </c>
      <c r="X325" s="961"/>
      <c r="Y325" s="81"/>
      <c r="Z325" s="81"/>
      <c r="AA325" s="81"/>
      <c r="AB325" s="81"/>
      <c r="AC325" s="1212">
        <f t="shared" si="109"/>
        <v>0</v>
      </c>
      <c r="AG325" s="81"/>
    </row>
    <row r="326" spans="3:33" ht="15.6" customHeight="1" x14ac:dyDescent="0.25">
      <c r="C326" s="1210">
        <v>844400.84699999995</v>
      </c>
      <c r="D326" s="689" t="s">
        <v>832</v>
      </c>
      <c r="E326" s="667">
        <v>183540</v>
      </c>
      <c r="F326" s="667">
        <v>556588</v>
      </c>
      <c r="G326" s="667">
        <v>0</v>
      </c>
      <c r="H326" s="667">
        <f t="shared" si="121"/>
        <v>556588</v>
      </c>
      <c r="I326" s="667">
        <v>183540</v>
      </c>
      <c r="J326" s="667">
        <v>283311</v>
      </c>
      <c r="K326" s="667">
        <v>183540</v>
      </c>
      <c r="P326" s="608">
        <v>423706</v>
      </c>
      <c r="Q326" s="608">
        <v>567833</v>
      </c>
      <c r="R326" s="608">
        <v>238320</v>
      </c>
      <c r="S326" s="608">
        <f t="shared" si="122"/>
        <v>238320</v>
      </c>
      <c r="W326" s="667">
        <v>183540</v>
      </c>
      <c r="X326" s="961"/>
      <c r="Y326" s="81"/>
      <c r="Z326" s="81"/>
      <c r="AA326" s="81"/>
      <c r="AB326" s="81"/>
      <c r="AC326" s="1212">
        <f t="shared" si="109"/>
        <v>0</v>
      </c>
      <c r="AG326" s="81"/>
    </row>
    <row r="327" spans="3:33" ht="15.6" customHeight="1" x14ac:dyDescent="0.25">
      <c r="C327" s="1231" t="s">
        <v>833</v>
      </c>
      <c r="D327" s="1232" t="s">
        <v>834</v>
      </c>
      <c r="E327" s="1259">
        <f t="shared" ref="E327:S327" si="124">SUM(E316:E326)</f>
        <v>600868.75</v>
      </c>
      <c r="F327" s="1259">
        <f t="shared" si="124"/>
        <v>992504</v>
      </c>
      <c r="G327" s="1259">
        <f t="shared" si="124"/>
        <v>27093</v>
      </c>
      <c r="H327" s="1259">
        <f t="shared" si="124"/>
        <v>1019597</v>
      </c>
      <c r="I327" s="1259">
        <f t="shared" si="124"/>
        <v>583883</v>
      </c>
      <c r="J327" s="1259">
        <f t="shared" si="124"/>
        <v>617374</v>
      </c>
      <c r="K327" s="1259">
        <f t="shared" si="124"/>
        <v>641479</v>
      </c>
      <c r="L327" s="1259">
        <f t="shared" si="124"/>
        <v>0</v>
      </c>
      <c r="M327" s="1259">
        <f t="shared" si="124"/>
        <v>0</v>
      </c>
      <c r="N327" s="1259">
        <f t="shared" si="124"/>
        <v>0</v>
      </c>
      <c r="O327" s="1260">
        <f t="shared" si="124"/>
        <v>0</v>
      </c>
      <c r="P327" s="1259">
        <f t="shared" si="124"/>
        <v>924939</v>
      </c>
      <c r="Q327" s="1259">
        <f t="shared" si="124"/>
        <v>1251330</v>
      </c>
      <c r="R327" s="1259">
        <f t="shared" si="124"/>
        <v>681382.75</v>
      </c>
      <c r="S327" s="1259">
        <f t="shared" si="124"/>
        <v>681382.75</v>
      </c>
      <c r="T327" s="1261">
        <f t="shared" ref="T327:AC327" si="125">SUM(T316:T326)</f>
        <v>0</v>
      </c>
      <c r="U327" s="1259">
        <f t="shared" si="125"/>
        <v>0</v>
      </c>
      <c r="V327" s="1259">
        <f t="shared" si="125"/>
        <v>0</v>
      </c>
      <c r="W327" s="1259">
        <f t="shared" si="125"/>
        <v>583883</v>
      </c>
      <c r="X327" s="1259">
        <f t="shared" si="125"/>
        <v>0</v>
      </c>
      <c r="Y327" s="1259">
        <f t="shared" si="125"/>
        <v>0</v>
      </c>
      <c r="Z327" s="1259">
        <f t="shared" si="125"/>
        <v>0</v>
      </c>
      <c r="AA327" s="1259">
        <f t="shared" si="125"/>
        <v>0</v>
      </c>
      <c r="AB327" s="1259">
        <f t="shared" si="125"/>
        <v>0</v>
      </c>
      <c r="AC327" s="1259">
        <f t="shared" si="125"/>
        <v>57596</v>
      </c>
      <c r="AD327" s="81" t="str">
        <f t="shared" si="111"/>
        <v>סה"כ</v>
      </c>
      <c r="AG327" s="81"/>
    </row>
    <row r="328" spans="3:33" ht="15.6" customHeight="1" x14ac:dyDescent="0.25">
      <c r="C328" s="1231"/>
      <c r="D328" s="1232"/>
      <c r="E328" s="667"/>
      <c r="F328" s="1263"/>
      <c r="G328" s="667"/>
      <c r="H328" s="667"/>
      <c r="I328" s="667"/>
      <c r="J328" s="667"/>
      <c r="K328" s="667"/>
      <c r="P328" s="608"/>
      <c r="Q328" s="608"/>
      <c r="R328" s="608"/>
      <c r="S328" s="608"/>
      <c r="W328" s="667"/>
      <c r="X328" s="961"/>
      <c r="Y328" s="81"/>
      <c r="Z328" s="1212"/>
      <c r="AA328" s="81"/>
      <c r="AB328" s="1213"/>
      <c r="AC328" s="1212">
        <f t="shared" si="109"/>
        <v>0</v>
      </c>
      <c r="AD328" s="81" t="str">
        <f t="shared" si="111"/>
        <v/>
      </c>
      <c r="AG328" s="81"/>
    </row>
    <row r="329" spans="3:33" ht="15.6" customHeight="1" x14ac:dyDescent="0.25">
      <c r="C329" s="1210">
        <v>845100.84</v>
      </c>
      <c r="D329" s="1237" t="s">
        <v>835</v>
      </c>
      <c r="E329" s="667">
        <v>960480</v>
      </c>
      <c r="F329" s="667">
        <v>1102670</v>
      </c>
      <c r="G329" s="667">
        <v>120000</v>
      </c>
      <c r="H329" s="667">
        <f>F329+G329</f>
        <v>1222670</v>
      </c>
      <c r="I329" s="667">
        <v>960480</v>
      </c>
      <c r="J329" s="667">
        <v>729694</v>
      </c>
      <c r="K329" s="667">
        <v>960480</v>
      </c>
      <c r="P329" s="608">
        <v>1087270</v>
      </c>
      <c r="Q329" s="608">
        <v>1444534</v>
      </c>
      <c r="R329" s="608">
        <v>1307448</v>
      </c>
      <c r="S329" s="608">
        <f>R329</f>
        <v>1307448</v>
      </c>
      <c r="W329" s="667">
        <v>960480</v>
      </c>
      <c r="X329" s="961"/>
      <c r="Y329" s="81"/>
      <c r="Z329" s="1212"/>
      <c r="AA329" s="1213"/>
      <c r="AB329" s="1213"/>
      <c r="AC329" s="1212">
        <f t="shared" si="109"/>
        <v>0</v>
      </c>
      <c r="AG329" s="1213"/>
    </row>
    <row r="330" spans="3:33" ht="15.6" customHeight="1" x14ac:dyDescent="0.25">
      <c r="C330" s="1210">
        <v>845200.84</v>
      </c>
      <c r="D330" s="1237" t="s">
        <v>1970</v>
      </c>
      <c r="E330" s="667"/>
      <c r="F330" s="667"/>
      <c r="G330" s="667"/>
      <c r="H330" s="667"/>
      <c r="I330" s="667"/>
      <c r="J330" s="667"/>
      <c r="K330" s="667"/>
      <c r="P330" s="608"/>
      <c r="Q330" s="608">
        <v>19565</v>
      </c>
      <c r="R330" s="608">
        <v>26667</v>
      </c>
      <c r="S330" s="608">
        <v>26667</v>
      </c>
      <c r="W330" s="667"/>
      <c r="X330" s="961"/>
      <c r="Y330" s="81"/>
      <c r="Z330" s="1212"/>
      <c r="AA330" s="1213"/>
      <c r="AB330" s="1213"/>
      <c r="AC330" s="1212"/>
      <c r="AG330" s="1213"/>
    </row>
    <row r="331" spans="3:33" ht="15.6" customHeight="1" x14ac:dyDescent="0.25">
      <c r="C331" s="1210">
        <v>845100.84100000001</v>
      </c>
      <c r="D331" s="1237" t="s">
        <v>836</v>
      </c>
      <c r="E331" s="667">
        <v>170724</v>
      </c>
      <c r="F331" s="667">
        <f>9370+133000</f>
        <v>142370</v>
      </c>
      <c r="G331" s="667">
        <f t="shared" ref="G331:G342" si="126">F331/10*2</f>
        <v>28474</v>
      </c>
      <c r="H331" s="667">
        <f t="shared" ref="H331:H344" si="127">F331+G331</f>
        <v>170844</v>
      </c>
      <c r="I331" s="667">
        <v>170724</v>
      </c>
      <c r="J331" s="667">
        <v>79800</v>
      </c>
      <c r="K331" s="667">
        <v>170724</v>
      </c>
      <c r="P331" s="608">
        <f>119700+7826</f>
        <v>127526</v>
      </c>
      <c r="Q331" s="608">
        <v>159600</v>
      </c>
      <c r="R331" s="608">
        <f>6650*12+3900</f>
        <v>83700</v>
      </c>
      <c r="S331" s="608">
        <f>R331</f>
        <v>83700</v>
      </c>
      <c r="W331" s="667">
        <v>170724</v>
      </c>
      <c r="X331" s="961"/>
      <c r="Y331" s="81"/>
      <c r="Z331" s="81"/>
      <c r="AA331" s="81"/>
      <c r="AB331" s="81"/>
      <c r="AC331" s="1212">
        <f t="shared" si="109"/>
        <v>0</v>
      </c>
      <c r="AG331" s="81"/>
    </row>
    <row r="332" spans="3:33" ht="15.6" customHeight="1" x14ac:dyDescent="0.25">
      <c r="C332" s="1210">
        <v>843500.848</v>
      </c>
      <c r="D332" s="689" t="s">
        <v>837</v>
      </c>
      <c r="E332" s="667">
        <v>15333</v>
      </c>
      <c r="F332" s="667">
        <v>64723</v>
      </c>
      <c r="G332" s="667">
        <f t="shared" si="126"/>
        <v>12944.6</v>
      </c>
      <c r="H332" s="667">
        <f t="shared" si="127"/>
        <v>77667.600000000006</v>
      </c>
      <c r="I332" s="667">
        <v>15333</v>
      </c>
      <c r="J332" s="667">
        <v>25686</v>
      </c>
      <c r="K332" s="667">
        <f>J332*2</f>
        <v>51372</v>
      </c>
      <c r="P332" s="608">
        <v>62226</v>
      </c>
      <c r="Q332" s="608">
        <v>86523</v>
      </c>
      <c r="R332" s="608">
        <v>20800</v>
      </c>
      <c r="S332" s="608">
        <f>R332</f>
        <v>20800</v>
      </c>
      <c r="W332" s="667">
        <v>15333</v>
      </c>
      <c r="X332" s="961"/>
      <c r="Y332" s="81"/>
      <c r="Z332" s="1212"/>
      <c r="AA332" s="1213"/>
      <c r="AB332" s="1213"/>
      <c r="AC332" s="1212">
        <f t="shared" si="109"/>
        <v>36039</v>
      </c>
      <c r="AG332" s="1213"/>
    </row>
    <row r="333" spans="3:33" ht="15.6" customHeight="1" x14ac:dyDescent="0.25">
      <c r="C333" s="1210">
        <v>845200.84100000001</v>
      </c>
      <c r="D333" s="689" t="s">
        <v>838</v>
      </c>
      <c r="E333" s="610">
        <v>2000</v>
      </c>
      <c r="F333" s="667">
        <v>1150</v>
      </c>
      <c r="G333" s="667">
        <f t="shared" si="126"/>
        <v>230</v>
      </c>
      <c r="H333" s="667">
        <f t="shared" si="127"/>
        <v>1380</v>
      </c>
      <c r="I333" s="667">
        <v>2000</v>
      </c>
      <c r="J333" s="667">
        <v>0</v>
      </c>
      <c r="K333" s="667">
        <v>2000</v>
      </c>
      <c r="P333" s="608">
        <v>0</v>
      </c>
      <c r="Q333" s="608">
        <f>P333/9*12</f>
        <v>0</v>
      </c>
      <c r="R333" s="608">
        <v>6667</v>
      </c>
      <c r="S333" s="608">
        <f>R333</f>
        <v>6667</v>
      </c>
      <c r="W333" s="667">
        <v>2000</v>
      </c>
      <c r="X333" s="961"/>
      <c r="Y333" s="81"/>
      <c r="Z333" s="1212"/>
      <c r="AA333" s="1213"/>
      <c r="AB333" s="1213"/>
      <c r="AC333" s="1212">
        <f t="shared" si="109"/>
        <v>0</v>
      </c>
      <c r="AG333" s="1213"/>
    </row>
    <row r="334" spans="3:33" ht="15.6" customHeight="1" x14ac:dyDescent="0.25">
      <c r="C334" s="1215">
        <v>845200.11</v>
      </c>
      <c r="D334" s="1216" t="s">
        <v>839</v>
      </c>
      <c r="E334" s="1217">
        <f>רווחה!J41</f>
        <v>407900</v>
      </c>
      <c r="F334" s="1217">
        <v>338230</v>
      </c>
      <c r="G334" s="1217">
        <f t="shared" si="126"/>
        <v>67646</v>
      </c>
      <c r="H334" s="1217">
        <f t="shared" si="127"/>
        <v>405876</v>
      </c>
      <c r="I334" s="1217">
        <v>218500</v>
      </c>
      <c r="J334" s="1217">
        <v>231070</v>
      </c>
      <c r="K334" s="1217">
        <f>רווחה!L41</f>
        <v>360000</v>
      </c>
      <c r="P334" s="1217">
        <f>שכר!AG394</f>
        <v>286427.64</v>
      </c>
      <c r="Q334" s="1217">
        <v>386165</v>
      </c>
      <c r="R334" s="1217">
        <f>שכר!AM394</f>
        <v>154059.2836</v>
      </c>
      <c r="S334" s="1217">
        <f t="shared" ref="S334" si="128">R334*1.02</f>
        <v>157140.46927199999</v>
      </c>
      <c r="W334" s="1217">
        <f>רווחה!AI41</f>
        <v>0</v>
      </c>
      <c r="X334" s="961"/>
      <c r="Y334" s="81"/>
      <c r="Z334" s="81"/>
      <c r="AA334" s="81"/>
      <c r="AB334" s="81"/>
      <c r="AC334" s="1212">
        <f t="shared" si="109"/>
        <v>141500</v>
      </c>
      <c r="AD334" s="81" t="str">
        <f t="shared" si="111"/>
        <v>8452</v>
      </c>
      <c r="AG334" s="81"/>
    </row>
    <row r="335" spans="3:33" ht="15.6" customHeight="1" x14ac:dyDescent="0.25">
      <c r="C335" s="1210">
        <v>845400.41</v>
      </c>
      <c r="D335" s="689" t="s">
        <v>840</v>
      </c>
      <c r="E335" s="610">
        <v>38000</v>
      </c>
      <c r="F335" s="667">
        <v>29700</v>
      </c>
      <c r="G335" s="667">
        <f t="shared" si="126"/>
        <v>5940</v>
      </c>
      <c r="H335" s="667">
        <f t="shared" si="127"/>
        <v>35640</v>
      </c>
      <c r="I335" s="667">
        <v>38000</v>
      </c>
      <c r="J335" s="667">
        <v>16200</v>
      </c>
      <c r="K335" s="667">
        <v>38000</v>
      </c>
      <c r="P335" s="608">
        <v>24300</v>
      </c>
      <c r="Q335" s="608">
        <f>P335/9*12</f>
        <v>32400</v>
      </c>
      <c r="R335" s="608">
        <v>32000</v>
      </c>
      <c r="S335" s="608">
        <f t="shared" ref="S335:S344" si="129">R335</f>
        <v>32000</v>
      </c>
      <c r="W335" s="667">
        <v>38000</v>
      </c>
      <c r="X335" s="961"/>
      <c r="Y335" s="81"/>
      <c r="Z335" s="1212"/>
      <c r="AA335" s="1213"/>
      <c r="AB335" s="1213"/>
      <c r="AC335" s="1212">
        <f t="shared" si="109"/>
        <v>0</v>
      </c>
      <c r="AG335" s="1213"/>
    </row>
    <row r="336" spans="3:33" ht="15.6" customHeight="1" x14ac:dyDescent="0.25">
      <c r="C336" s="1210">
        <v>845400.43200000003</v>
      </c>
      <c r="D336" s="1237" t="s">
        <v>841</v>
      </c>
      <c r="E336" s="610">
        <v>10000</v>
      </c>
      <c r="F336" s="673">
        <v>0</v>
      </c>
      <c r="G336" s="667">
        <f t="shared" si="126"/>
        <v>0</v>
      </c>
      <c r="H336" s="667">
        <f t="shared" si="127"/>
        <v>0</v>
      </c>
      <c r="I336" s="667">
        <v>0</v>
      </c>
      <c r="J336" s="667">
        <v>0</v>
      </c>
      <c r="K336" s="667">
        <f>J336*2</f>
        <v>0</v>
      </c>
      <c r="P336" s="608">
        <v>0</v>
      </c>
      <c r="Q336" s="608">
        <f>P336/9*12</f>
        <v>0</v>
      </c>
      <c r="R336" s="608">
        <v>0</v>
      </c>
      <c r="S336" s="608">
        <f t="shared" si="129"/>
        <v>0</v>
      </c>
      <c r="W336" s="667">
        <v>0</v>
      </c>
      <c r="X336" s="961"/>
      <c r="Y336" s="81"/>
      <c r="Z336" s="1212"/>
      <c r="AA336" s="81"/>
      <c r="AB336" s="1213"/>
      <c r="AC336" s="1212">
        <f t="shared" si="109"/>
        <v>0</v>
      </c>
      <c r="AG336" s="81"/>
    </row>
    <row r="337" spans="3:33" ht="15.6" customHeight="1" x14ac:dyDescent="0.25">
      <c r="C337" s="1210">
        <v>845400.43099999998</v>
      </c>
      <c r="D337" s="689" t="s">
        <v>842</v>
      </c>
      <c r="E337" s="610">
        <v>25000</v>
      </c>
      <c r="F337" s="667">
        <v>31704</v>
      </c>
      <c r="G337" s="667">
        <f t="shared" si="126"/>
        <v>6340.8</v>
      </c>
      <c r="H337" s="667">
        <f t="shared" si="127"/>
        <v>38044.800000000003</v>
      </c>
      <c r="I337" s="667">
        <v>0</v>
      </c>
      <c r="J337" s="667">
        <v>18070</v>
      </c>
      <c r="K337" s="667">
        <f>J337*2</f>
        <v>36140</v>
      </c>
      <c r="P337" s="608">
        <v>29380</v>
      </c>
      <c r="Q337" s="608">
        <v>32901</v>
      </c>
      <c r="R337" s="608">
        <v>33000</v>
      </c>
      <c r="S337" s="608">
        <f t="shared" si="129"/>
        <v>33000</v>
      </c>
      <c r="W337" s="667">
        <v>0</v>
      </c>
      <c r="X337" s="961"/>
      <c r="Y337" s="81"/>
      <c r="Z337" s="81"/>
      <c r="AA337" s="81"/>
      <c r="AB337" s="81"/>
      <c r="AC337" s="1212">
        <f t="shared" si="109"/>
        <v>36140</v>
      </c>
      <c r="AG337" s="81"/>
    </row>
    <row r="338" spans="3:33" ht="15.6" customHeight="1" x14ac:dyDescent="0.25">
      <c r="C338" s="1210">
        <v>845400.54</v>
      </c>
      <c r="D338" s="1237" t="s">
        <v>843</v>
      </c>
      <c r="E338" s="610">
        <v>2100</v>
      </c>
      <c r="F338" s="667">
        <v>2056</v>
      </c>
      <c r="G338" s="667">
        <f t="shared" si="126"/>
        <v>411.2</v>
      </c>
      <c r="H338" s="667">
        <f t="shared" si="127"/>
        <v>2467.1999999999998</v>
      </c>
      <c r="I338" s="667">
        <v>0</v>
      </c>
      <c r="J338" s="667">
        <v>0</v>
      </c>
      <c r="K338" s="667">
        <f>J338*2</f>
        <v>0</v>
      </c>
      <c r="P338" s="608">
        <v>0</v>
      </c>
      <c r="Q338" s="608">
        <f>P338/9*12</f>
        <v>0</v>
      </c>
      <c r="R338" s="608">
        <v>0</v>
      </c>
      <c r="S338" s="608">
        <f t="shared" si="129"/>
        <v>0</v>
      </c>
      <c r="W338" s="667">
        <v>0</v>
      </c>
      <c r="X338" s="961"/>
      <c r="Y338" s="81"/>
      <c r="Z338" s="1212"/>
      <c r="AA338" s="81"/>
      <c r="AB338" s="1213"/>
      <c r="AC338" s="1212">
        <f t="shared" si="109"/>
        <v>0</v>
      </c>
      <c r="AG338" s="81"/>
    </row>
    <row r="339" spans="3:33" ht="15.6" customHeight="1" x14ac:dyDescent="0.25">
      <c r="C339" s="1210">
        <v>845400.78</v>
      </c>
      <c r="D339" s="689" t="s">
        <v>844</v>
      </c>
      <c r="E339" s="610">
        <v>10000</v>
      </c>
      <c r="F339" s="667">
        <v>9300</v>
      </c>
      <c r="G339" s="667">
        <f t="shared" si="126"/>
        <v>1860</v>
      </c>
      <c r="H339" s="667">
        <f t="shared" si="127"/>
        <v>11160</v>
      </c>
      <c r="I339" s="667">
        <v>0</v>
      </c>
      <c r="J339" s="667">
        <v>0</v>
      </c>
      <c r="K339" s="667">
        <f>J339*2</f>
        <v>0</v>
      </c>
      <c r="P339" s="608">
        <v>0</v>
      </c>
      <c r="Q339" s="608">
        <f>P339/9*12</f>
        <v>0</v>
      </c>
      <c r="R339" s="608">
        <v>0</v>
      </c>
      <c r="S339" s="608">
        <f t="shared" si="129"/>
        <v>0</v>
      </c>
      <c r="W339" s="667">
        <v>0</v>
      </c>
      <c r="X339" s="961"/>
      <c r="Y339" s="81"/>
      <c r="Z339" s="81"/>
      <c r="AA339" s="81"/>
      <c r="AB339" s="81"/>
      <c r="AC339" s="1212">
        <f t="shared" si="109"/>
        <v>0</v>
      </c>
      <c r="AG339" s="81"/>
    </row>
    <row r="340" spans="3:33" ht="15.6" customHeight="1" x14ac:dyDescent="0.25">
      <c r="C340" s="1210">
        <v>845400.84</v>
      </c>
      <c r="D340" s="689" t="s">
        <v>845</v>
      </c>
      <c r="E340" s="610">
        <v>309540</v>
      </c>
      <c r="F340" s="667">
        <v>254644</v>
      </c>
      <c r="G340" s="667">
        <f t="shared" si="126"/>
        <v>50928.800000000003</v>
      </c>
      <c r="H340" s="667">
        <f t="shared" si="127"/>
        <v>305572.8</v>
      </c>
      <c r="I340" s="667">
        <v>309540</v>
      </c>
      <c r="J340" s="667">
        <v>154682</v>
      </c>
      <c r="K340" s="667">
        <v>309540</v>
      </c>
      <c r="P340" s="608">
        <v>201646</v>
      </c>
      <c r="Q340" s="608">
        <v>293609</v>
      </c>
      <c r="R340" s="608">
        <v>514560</v>
      </c>
      <c r="S340" s="608">
        <f t="shared" si="129"/>
        <v>514560</v>
      </c>
      <c r="W340" s="667">
        <v>309540</v>
      </c>
      <c r="X340" s="961"/>
      <c r="Y340" s="81"/>
      <c r="Z340" s="1212"/>
      <c r="AA340" s="81"/>
      <c r="AB340" s="1213"/>
      <c r="AC340" s="1212">
        <f t="shared" si="109"/>
        <v>0</v>
      </c>
      <c r="AG340" s="81"/>
    </row>
    <row r="341" spans="3:33" ht="15.6" customHeight="1" x14ac:dyDescent="0.25">
      <c r="C341" s="1236">
        <v>845400.84100000001</v>
      </c>
      <c r="D341" s="1237" t="s">
        <v>846</v>
      </c>
      <c r="E341" s="667">
        <v>241728</v>
      </c>
      <c r="F341" s="667">
        <v>45927</v>
      </c>
      <c r="G341" s="667">
        <f t="shared" si="126"/>
        <v>9185.4</v>
      </c>
      <c r="H341" s="667">
        <f t="shared" si="127"/>
        <v>55112.4</v>
      </c>
      <c r="I341" s="667">
        <v>241728</v>
      </c>
      <c r="J341" s="667">
        <v>42563</v>
      </c>
      <c r="K341" s="667">
        <f>241728+185037</f>
        <v>426765</v>
      </c>
      <c r="P341" s="608">
        <v>58485</v>
      </c>
      <c r="Q341" s="608">
        <v>121497</v>
      </c>
      <c r="R341" s="608">
        <v>146208</v>
      </c>
      <c r="S341" s="608">
        <f t="shared" si="129"/>
        <v>146208</v>
      </c>
      <c r="W341" s="673">
        <v>241728</v>
      </c>
      <c r="X341" s="961" t="s">
        <v>2044</v>
      </c>
      <c r="Y341" s="81"/>
      <c r="Z341" s="1212"/>
      <c r="AA341" s="1213"/>
      <c r="AB341" s="1213"/>
      <c r="AC341" s="1212">
        <f t="shared" si="109"/>
        <v>185037</v>
      </c>
      <c r="AG341" s="1213"/>
    </row>
    <row r="342" spans="3:33" ht="15.6" customHeight="1" x14ac:dyDescent="0.25">
      <c r="C342" s="1210">
        <v>845400.84199999995</v>
      </c>
      <c r="D342" s="689" t="s">
        <v>847</v>
      </c>
      <c r="E342" s="667">
        <v>5440</v>
      </c>
      <c r="F342" s="1263">
        <v>7915</v>
      </c>
      <c r="G342" s="667">
        <f t="shared" si="126"/>
        <v>1583</v>
      </c>
      <c r="H342" s="667">
        <f t="shared" si="127"/>
        <v>9498</v>
      </c>
      <c r="I342" s="667">
        <v>5440</v>
      </c>
      <c r="J342" s="667">
        <v>4900</v>
      </c>
      <c r="K342" s="667">
        <v>5440</v>
      </c>
      <c r="L342" s="1209"/>
      <c r="M342" s="1209"/>
      <c r="N342" s="1209"/>
      <c r="O342" s="1209"/>
      <c r="P342" s="608">
        <v>4900</v>
      </c>
      <c r="Q342" s="608">
        <v>7740</v>
      </c>
      <c r="R342" s="608">
        <f>5880+1300</f>
        <v>7180</v>
      </c>
      <c r="S342" s="608">
        <f t="shared" si="129"/>
        <v>7180</v>
      </c>
      <c r="W342" s="667">
        <v>5440</v>
      </c>
      <c r="X342" s="961"/>
      <c r="Y342" s="81"/>
      <c r="Z342" s="1212"/>
      <c r="AA342" s="81"/>
      <c r="AB342" s="1213"/>
      <c r="AC342" s="1212">
        <f t="shared" si="109"/>
        <v>0</v>
      </c>
      <c r="AG342" s="81"/>
    </row>
    <row r="343" spans="3:33" ht="15.6" customHeight="1" x14ac:dyDescent="0.25">
      <c r="C343" s="1210">
        <v>845400.84299999999</v>
      </c>
      <c r="D343" s="689" t="s">
        <v>848</v>
      </c>
      <c r="E343" s="667">
        <v>79467</v>
      </c>
      <c r="F343" s="1263">
        <v>168085</v>
      </c>
      <c r="G343" s="667">
        <v>0</v>
      </c>
      <c r="H343" s="667">
        <f t="shared" si="127"/>
        <v>168085</v>
      </c>
      <c r="I343" s="667">
        <v>79467</v>
      </c>
      <c r="J343" s="667">
        <v>103494</v>
      </c>
      <c r="K343" s="667">
        <f>J343*2</f>
        <v>206988</v>
      </c>
      <c r="P343" s="608">
        <v>274188</v>
      </c>
      <c r="Q343" s="608">
        <v>336188</v>
      </c>
      <c r="R343" s="608">
        <f>33814/2*12</f>
        <v>202884</v>
      </c>
      <c r="S343" s="608">
        <f t="shared" si="129"/>
        <v>202884</v>
      </c>
      <c r="W343" s="667">
        <v>79467</v>
      </c>
      <c r="X343" s="961"/>
      <c r="Y343" s="81"/>
      <c r="Z343" s="1212"/>
      <c r="AA343" s="1213"/>
      <c r="AB343" s="81"/>
      <c r="AC343" s="1212">
        <f t="shared" si="109"/>
        <v>127521</v>
      </c>
      <c r="AG343" s="1213"/>
    </row>
    <row r="344" spans="3:33" ht="15.6" customHeight="1" x14ac:dyDescent="0.25">
      <c r="C344" s="1236">
        <v>845400.84400000004</v>
      </c>
      <c r="D344" s="1237" t="s">
        <v>849</v>
      </c>
      <c r="E344" s="610">
        <v>533</v>
      </c>
      <c r="F344" s="1263">
        <v>0</v>
      </c>
      <c r="G344" s="667">
        <f>F344/10*2</f>
        <v>0</v>
      </c>
      <c r="H344" s="667">
        <f t="shared" si="127"/>
        <v>0</v>
      </c>
      <c r="I344" s="610">
        <v>533</v>
      </c>
      <c r="J344" s="610">
        <v>0</v>
      </c>
      <c r="K344" s="667">
        <v>533</v>
      </c>
      <c r="P344" s="608">
        <v>0</v>
      </c>
      <c r="Q344" s="608">
        <f>P344/9*12</f>
        <v>0</v>
      </c>
      <c r="R344" s="608">
        <v>0</v>
      </c>
      <c r="S344" s="608">
        <f t="shared" si="129"/>
        <v>0</v>
      </c>
      <c r="W344" s="610">
        <v>533</v>
      </c>
      <c r="X344" s="961"/>
      <c r="Y344" s="81"/>
      <c r="Z344" s="81"/>
      <c r="AA344" s="81"/>
      <c r="AB344" s="81"/>
      <c r="AC344" s="1212">
        <f t="shared" si="109"/>
        <v>0</v>
      </c>
      <c r="AG344" s="81"/>
    </row>
    <row r="345" spans="3:33" ht="15.6" customHeight="1" x14ac:dyDescent="0.25">
      <c r="C345" s="1231" t="s">
        <v>850</v>
      </c>
      <c r="D345" s="1232" t="s">
        <v>851</v>
      </c>
      <c r="E345" s="1259">
        <f t="shared" ref="E345:S345" si="130">SUM(E329:E344)</f>
        <v>2278245</v>
      </c>
      <c r="F345" s="1259">
        <f t="shared" si="130"/>
        <v>2198474</v>
      </c>
      <c r="G345" s="1259">
        <f t="shared" si="130"/>
        <v>305543.80000000005</v>
      </c>
      <c r="H345" s="1259">
        <f t="shared" si="130"/>
        <v>2504017.7999999998</v>
      </c>
      <c r="I345" s="1259">
        <f t="shared" si="130"/>
        <v>2041745</v>
      </c>
      <c r="J345" s="1259">
        <f t="shared" si="130"/>
        <v>1406159</v>
      </c>
      <c r="K345" s="1259">
        <f t="shared" si="130"/>
        <v>2567982</v>
      </c>
      <c r="L345" s="1259">
        <f t="shared" si="130"/>
        <v>0</v>
      </c>
      <c r="M345" s="1259">
        <f t="shared" si="130"/>
        <v>0</v>
      </c>
      <c r="N345" s="1259">
        <f t="shared" si="130"/>
        <v>0</v>
      </c>
      <c r="O345" s="1260">
        <f t="shared" si="130"/>
        <v>0</v>
      </c>
      <c r="P345" s="1259">
        <f t="shared" si="130"/>
        <v>2156348.64</v>
      </c>
      <c r="Q345" s="1259">
        <f t="shared" si="130"/>
        <v>2920722</v>
      </c>
      <c r="R345" s="1259">
        <f t="shared" si="130"/>
        <v>2535173.2835999997</v>
      </c>
      <c r="S345" s="1259">
        <f t="shared" si="130"/>
        <v>2538254.4692719998</v>
      </c>
      <c r="T345" s="1261">
        <f t="shared" ref="T345:AC345" si="131">SUM(T329:T344)</f>
        <v>0</v>
      </c>
      <c r="U345" s="1259">
        <f t="shared" si="131"/>
        <v>0</v>
      </c>
      <c r="V345" s="1259">
        <f t="shared" si="131"/>
        <v>0</v>
      </c>
      <c r="W345" s="1259">
        <f t="shared" si="131"/>
        <v>1823245</v>
      </c>
      <c r="X345" s="1259">
        <f t="shared" si="131"/>
        <v>0</v>
      </c>
      <c r="Y345" s="1259">
        <f t="shared" si="131"/>
        <v>0</v>
      </c>
      <c r="Z345" s="1259">
        <f t="shared" si="131"/>
        <v>0</v>
      </c>
      <c r="AA345" s="1259">
        <f t="shared" si="131"/>
        <v>0</v>
      </c>
      <c r="AB345" s="1259">
        <f t="shared" si="131"/>
        <v>0</v>
      </c>
      <c r="AC345" s="1259">
        <f t="shared" si="131"/>
        <v>526237</v>
      </c>
      <c r="AD345" s="81" t="str">
        <f t="shared" si="111"/>
        <v>סה"כ</v>
      </c>
      <c r="AG345" s="1213"/>
    </row>
    <row r="346" spans="3:33" ht="15.6" customHeight="1" x14ac:dyDescent="0.25">
      <c r="C346" s="1210"/>
      <c r="D346" s="1246"/>
      <c r="E346" s="667"/>
      <c r="F346" s="1263"/>
      <c r="G346" s="667"/>
      <c r="H346" s="667"/>
      <c r="I346" s="667"/>
      <c r="J346" s="667"/>
      <c r="K346" s="667"/>
      <c r="P346" s="608"/>
      <c r="Q346" s="608"/>
      <c r="R346" s="608"/>
      <c r="S346" s="608"/>
      <c r="W346" s="667"/>
      <c r="X346" s="961"/>
      <c r="Y346" s="81"/>
      <c r="Z346" s="1212"/>
      <c r="AA346" s="1213"/>
      <c r="AB346" s="1213"/>
      <c r="AC346" s="1212">
        <f t="shared" si="109"/>
        <v>0</v>
      </c>
      <c r="AD346" s="81" t="str">
        <f t="shared" si="111"/>
        <v/>
      </c>
      <c r="AG346" s="1213"/>
    </row>
    <row r="347" spans="3:33" ht="15.6" customHeight="1" x14ac:dyDescent="0.25">
      <c r="C347" s="1210">
        <v>846500.84</v>
      </c>
      <c r="D347" s="689" t="s">
        <v>852</v>
      </c>
      <c r="E347" s="667">
        <v>185544</v>
      </c>
      <c r="F347" s="667">
        <v>217358</v>
      </c>
      <c r="G347" s="667">
        <f t="shared" ref="G347:G355" si="132">F347/10*2</f>
        <v>43471.6</v>
      </c>
      <c r="H347" s="667">
        <f t="shared" ref="H347:H355" si="133">F347+G347</f>
        <v>260829.6</v>
      </c>
      <c r="I347" s="667">
        <v>185544</v>
      </c>
      <c r="J347" s="667">
        <v>133896</v>
      </c>
      <c r="K347" s="667">
        <v>185544</v>
      </c>
      <c r="P347" s="608">
        <v>203056</v>
      </c>
      <c r="Q347" s="608">
        <v>270610</v>
      </c>
      <c r="R347" s="608">
        <v>224496</v>
      </c>
      <c r="S347" s="608">
        <f t="shared" ref="S347:S356" si="134">R347</f>
        <v>224496</v>
      </c>
      <c r="W347" s="667">
        <v>185544</v>
      </c>
      <c r="X347" s="961"/>
      <c r="Y347" s="81"/>
      <c r="Z347" s="81"/>
      <c r="AA347" s="81"/>
      <c r="AB347" s="81"/>
      <c r="AC347" s="1212">
        <f t="shared" si="109"/>
        <v>0</v>
      </c>
      <c r="AG347" s="81"/>
    </row>
    <row r="348" spans="3:33" ht="15.6" customHeight="1" x14ac:dyDescent="0.25">
      <c r="C348" s="1210">
        <v>846600.84</v>
      </c>
      <c r="D348" s="689" t="s">
        <v>853</v>
      </c>
      <c r="E348" s="667">
        <v>16477</v>
      </c>
      <c r="F348" s="667">
        <v>13700</v>
      </c>
      <c r="G348" s="667">
        <f t="shared" si="132"/>
        <v>2740</v>
      </c>
      <c r="H348" s="667">
        <f t="shared" si="133"/>
        <v>16440</v>
      </c>
      <c r="I348" s="667">
        <v>16477</v>
      </c>
      <c r="J348" s="667">
        <v>8255</v>
      </c>
      <c r="K348" s="667">
        <f>16477+12330</f>
        <v>28807</v>
      </c>
      <c r="P348" s="608">
        <v>12389</v>
      </c>
      <c r="Q348" s="608">
        <v>16523</v>
      </c>
      <c r="R348" s="608">
        <v>16000</v>
      </c>
      <c r="S348" s="608">
        <f t="shared" si="134"/>
        <v>16000</v>
      </c>
      <c r="W348" s="667">
        <v>16477</v>
      </c>
      <c r="X348" s="961" t="s">
        <v>2045</v>
      </c>
      <c r="Y348" s="81"/>
      <c r="Z348" s="1212"/>
      <c r="AA348" s="1213"/>
      <c r="AB348" s="1213"/>
      <c r="AC348" s="1212">
        <f t="shared" si="109"/>
        <v>12330</v>
      </c>
      <c r="AG348" s="1213"/>
    </row>
    <row r="349" spans="3:33" ht="15.6" customHeight="1" x14ac:dyDescent="0.25">
      <c r="C349" s="1210">
        <v>846600.84100000001</v>
      </c>
      <c r="D349" s="689" t="s">
        <v>854</v>
      </c>
      <c r="E349" s="667">
        <v>4000</v>
      </c>
      <c r="F349" s="667">
        <v>4649</v>
      </c>
      <c r="G349" s="667">
        <f t="shared" si="132"/>
        <v>929.8</v>
      </c>
      <c r="H349" s="667">
        <f t="shared" si="133"/>
        <v>5578.8</v>
      </c>
      <c r="I349" s="667">
        <v>4000</v>
      </c>
      <c r="J349" s="667">
        <v>3149</v>
      </c>
      <c r="K349" s="667">
        <v>4000</v>
      </c>
      <c r="P349" s="608">
        <v>4733</v>
      </c>
      <c r="Q349" s="608">
        <v>6317</v>
      </c>
      <c r="R349" s="608">
        <v>6317</v>
      </c>
      <c r="S349" s="608">
        <f t="shared" si="134"/>
        <v>6317</v>
      </c>
      <c r="W349" s="667">
        <v>4000</v>
      </c>
      <c r="X349" s="961"/>
      <c r="Y349" s="81"/>
      <c r="Z349" s="81"/>
      <c r="AA349" s="81"/>
      <c r="AB349" s="81"/>
      <c r="AC349" s="1212">
        <f t="shared" si="109"/>
        <v>0</v>
      </c>
      <c r="AG349" s="81"/>
    </row>
    <row r="350" spans="3:33" ht="15.6" customHeight="1" x14ac:dyDescent="0.25">
      <c r="C350" s="1210">
        <v>846600.84199999995</v>
      </c>
      <c r="D350" s="689" t="s">
        <v>3263</v>
      </c>
      <c r="E350" s="667"/>
      <c r="F350" s="667"/>
      <c r="G350" s="667"/>
      <c r="H350" s="667"/>
      <c r="I350" s="667"/>
      <c r="J350" s="667"/>
      <c r="K350" s="667"/>
      <c r="P350" s="608"/>
      <c r="Q350" s="608"/>
      <c r="R350" s="608">
        <v>12300</v>
      </c>
      <c r="S350" s="608">
        <v>12300</v>
      </c>
      <c r="W350" s="667"/>
      <c r="X350" s="961"/>
      <c r="Y350" s="81"/>
      <c r="Z350" s="81"/>
      <c r="AA350" s="81"/>
      <c r="AB350" s="81"/>
      <c r="AC350" s="1212"/>
      <c r="AG350" s="81"/>
    </row>
    <row r="351" spans="3:33" ht="15.6" customHeight="1" x14ac:dyDescent="0.25">
      <c r="C351" s="1210">
        <v>846600.84299999999</v>
      </c>
      <c r="D351" s="689" t="s">
        <v>855</v>
      </c>
      <c r="E351" s="667">
        <v>46116</v>
      </c>
      <c r="F351" s="667">
        <f>1135+44571+126315</f>
        <v>172021</v>
      </c>
      <c r="G351" s="667">
        <f t="shared" si="132"/>
        <v>34404.199999999997</v>
      </c>
      <c r="H351" s="667">
        <f t="shared" si="133"/>
        <v>206425.2</v>
      </c>
      <c r="I351" s="667">
        <v>46116</v>
      </c>
      <c r="J351" s="667">
        <f>6865+21819</f>
        <v>28684</v>
      </c>
      <c r="K351" s="667">
        <v>46116</v>
      </c>
      <c r="P351" s="608">
        <v>37478</v>
      </c>
      <c r="Q351" s="608">
        <f>53228+13771</f>
        <v>66999</v>
      </c>
      <c r="R351" s="608">
        <v>55800</v>
      </c>
      <c r="S351" s="608">
        <f t="shared" si="134"/>
        <v>55800</v>
      </c>
      <c r="W351" s="667">
        <v>46116</v>
      </c>
      <c r="X351" s="961"/>
      <c r="Y351" s="81"/>
      <c r="Z351" s="1212"/>
      <c r="AA351" s="1213"/>
      <c r="AB351" s="1213"/>
      <c r="AC351" s="1212">
        <f t="shared" ref="AC351:AC421" si="135">K351-I351</f>
        <v>0</v>
      </c>
      <c r="AG351" s="1213"/>
    </row>
    <row r="352" spans="3:33" ht="15.6" customHeight="1" x14ac:dyDescent="0.25">
      <c r="C352" s="1210">
        <v>846600.84400000004</v>
      </c>
      <c r="D352" s="689" t="s">
        <v>856</v>
      </c>
      <c r="E352" s="667">
        <v>99200</v>
      </c>
      <c r="F352" s="667">
        <v>0</v>
      </c>
      <c r="G352" s="667">
        <f t="shared" si="132"/>
        <v>0</v>
      </c>
      <c r="H352" s="667">
        <f t="shared" si="133"/>
        <v>0</v>
      </c>
      <c r="I352" s="667">
        <v>99200</v>
      </c>
      <c r="J352" s="667">
        <v>0</v>
      </c>
      <c r="K352" s="667">
        <v>99200</v>
      </c>
      <c r="P352" s="608">
        <v>0</v>
      </c>
      <c r="Q352" s="608">
        <v>11700</v>
      </c>
      <c r="R352" s="608">
        <f>18324/2*12</f>
        <v>109944</v>
      </c>
      <c r="S352" s="608">
        <f t="shared" si="134"/>
        <v>109944</v>
      </c>
      <c r="W352" s="667">
        <v>99200</v>
      </c>
      <c r="X352" s="961"/>
      <c r="Y352" s="81"/>
      <c r="Z352" s="81"/>
      <c r="AA352" s="81"/>
      <c r="AB352" s="81"/>
      <c r="AC352" s="1212">
        <f t="shared" si="135"/>
        <v>0</v>
      </c>
      <c r="AG352" s="81"/>
    </row>
    <row r="353" spans="3:33" ht="15.6" customHeight="1" x14ac:dyDescent="0.25">
      <c r="C353" s="1210">
        <v>846600.84499999997</v>
      </c>
      <c r="D353" s="689" t="s">
        <v>857</v>
      </c>
      <c r="E353" s="667">
        <v>9907</v>
      </c>
      <c r="F353" s="667">
        <v>9750</v>
      </c>
      <c r="G353" s="667">
        <f t="shared" si="132"/>
        <v>1950</v>
      </c>
      <c r="H353" s="667">
        <f t="shared" si="133"/>
        <v>11700</v>
      </c>
      <c r="I353" s="667">
        <v>9907</v>
      </c>
      <c r="J353" s="667">
        <v>0</v>
      </c>
      <c r="K353" s="667">
        <v>9907</v>
      </c>
      <c r="P353" s="608">
        <v>0</v>
      </c>
      <c r="Q353" s="608">
        <v>1120</v>
      </c>
      <c r="R353" s="608">
        <v>1333</v>
      </c>
      <c r="S353" s="608">
        <f t="shared" si="134"/>
        <v>1333</v>
      </c>
      <c r="W353" s="667">
        <v>9907</v>
      </c>
      <c r="X353" s="961"/>
      <c r="Y353" s="81"/>
      <c r="Z353" s="1212"/>
      <c r="AA353" s="1213"/>
      <c r="AB353" s="1213"/>
      <c r="AC353" s="1212">
        <f t="shared" si="135"/>
        <v>0</v>
      </c>
      <c r="AG353" s="1213"/>
    </row>
    <row r="354" spans="3:33" ht="15.6" customHeight="1" x14ac:dyDescent="0.25">
      <c r="C354" s="1210">
        <v>846600.84600000002</v>
      </c>
      <c r="D354" s="689" t="s">
        <v>858</v>
      </c>
      <c r="E354" s="667">
        <v>6667</v>
      </c>
      <c r="F354" s="667">
        <v>0</v>
      </c>
      <c r="G354" s="667">
        <f t="shared" si="132"/>
        <v>0</v>
      </c>
      <c r="H354" s="667">
        <f t="shared" si="133"/>
        <v>0</v>
      </c>
      <c r="I354" s="667">
        <v>6667</v>
      </c>
      <c r="J354" s="667">
        <v>0</v>
      </c>
      <c r="K354" s="667">
        <v>6667</v>
      </c>
      <c r="L354" s="1209"/>
      <c r="M354" s="1209"/>
      <c r="N354" s="1209"/>
      <c r="O354" s="1209"/>
      <c r="P354" s="608">
        <v>0</v>
      </c>
      <c r="Q354" s="608">
        <f>P354/9*12</f>
        <v>0</v>
      </c>
      <c r="R354" s="608">
        <v>5333</v>
      </c>
      <c r="S354" s="608">
        <f t="shared" si="134"/>
        <v>5333</v>
      </c>
      <c r="W354" s="667">
        <v>6667</v>
      </c>
      <c r="X354" s="961"/>
      <c r="Y354" s="81"/>
      <c r="Z354" s="1212"/>
      <c r="AA354" s="81"/>
      <c r="AB354" s="1213"/>
      <c r="AC354" s="1212">
        <f t="shared" si="135"/>
        <v>0</v>
      </c>
      <c r="AG354" s="81"/>
    </row>
    <row r="355" spans="3:33" ht="15.6" customHeight="1" x14ac:dyDescent="0.25">
      <c r="C355" s="1210">
        <v>846700.84</v>
      </c>
      <c r="D355" s="689" t="s">
        <v>859</v>
      </c>
      <c r="E355" s="667">
        <v>6667</v>
      </c>
      <c r="F355" s="667">
        <v>10721</v>
      </c>
      <c r="G355" s="667">
        <f t="shared" si="132"/>
        <v>2144.1999999999998</v>
      </c>
      <c r="H355" s="667">
        <f t="shared" si="133"/>
        <v>12865.2</v>
      </c>
      <c r="I355" s="667">
        <v>6667</v>
      </c>
      <c r="J355" s="667">
        <f>2566+8032</f>
        <v>10598</v>
      </c>
      <c r="K355" s="667">
        <f>J355*2+16064</f>
        <v>37260</v>
      </c>
      <c r="P355" s="608">
        <v>2566</v>
      </c>
      <c r="Q355" s="608">
        <v>2566</v>
      </c>
      <c r="R355" s="608">
        <v>2133</v>
      </c>
      <c r="S355" s="608">
        <f t="shared" si="134"/>
        <v>2133</v>
      </c>
      <c r="W355" s="667">
        <v>6667</v>
      </c>
      <c r="X355" s="961" t="s">
        <v>2046</v>
      </c>
      <c r="Y355" s="81"/>
      <c r="Z355" s="81"/>
      <c r="AA355" s="81"/>
      <c r="AB355" s="81"/>
      <c r="AC355" s="1212">
        <f t="shared" si="135"/>
        <v>30593</v>
      </c>
      <c r="AG355" s="81"/>
    </row>
    <row r="356" spans="3:33" ht="15.6" customHeight="1" x14ac:dyDescent="0.25">
      <c r="C356" s="1210">
        <v>846300.84</v>
      </c>
      <c r="D356" s="689" t="s">
        <v>1988</v>
      </c>
      <c r="E356" s="667"/>
      <c r="F356" s="667"/>
      <c r="G356" s="667"/>
      <c r="H356" s="667"/>
      <c r="I356" s="667"/>
      <c r="J356" s="667"/>
      <c r="K356" s="667"/>
      <c r="P356" s="608"/>
      <c r="Q356" s="608">
        <v>13432</v>
      </c>
      <c r="R356" s="608">
        <v>13432</v>
      </c>
      <c r="S356" s="608">
        <f t="shared" si="134"/>
        <v>13432</v>
      </c>
      <c r="W356" s="667"/>
      <c r="X356" s="961"/>
      <c r="Y356" s="81"/>
      <c r="Z356" s="81"/>
      <c r="AA356" s="81"/>
      <c r="AB356" s="81"/>
      <c r="AC356" s="1212"/>
      <c r="AG356" s="81"/>
    </row>
    <row r="357" spans="3:33" ht="15.6" customHeight="1" x14ac:dyDescent="0.25">
      <c r="C357" s="1231" t="s">
        <v>860</v>
      </c>
      <c r="D357" s="1232" t="s">
        <v>861</v>
      </c>
      <c r="E357" s="1259">
        <f t="shared" ref="E357:P357" si="136">SUM(E347:E355)</f>
        <v>374578</v>
      </c>
      <c r="F357" s="1259">
        <f t="shared" si="136"/>
        <v>428199</v>
      </c>
      <c r="G357" s="1259">
        <f t="shared" si="136"/>
        <v>85639.8</v>
      </c>
      <c r="H357" s="1259">
        <f t="shared" si="136"/>
        <v>513838.8</v>
      </c>
      <c r="I357" s="1259">
        <f t="shared" si="136"/>
        <v>374578</v>
      </c>
      <c r="J357" s="1259">
        <f t="shared" si="136"/>
        <v>184582</v>
      </c>
      <c r="K357" s="1259">
        <f t="shared" si="136"/>
        <v>417501</v>
      </c>
      <c r="L357" s="1259">
        <f t="shared" si="136"/>
        <v>0</v>
      </c>
      <c r="M357" s="1259">
        <f t="shared" si="136"/>
        <v>0</v>
      </c>
      <c r="N357" s="1259">
        <f t="shared" si="136"/>
        <v>0</v>
      </c>
      <c r="O357" s="1260">
        <f t="shared" si="136"/>
        <v>0</v>
      </c>
      <c r="P357" s="1259">
        <f t="shared" si="136"/>
        <v>260222</v>
      </c>
      <c r="Q357" s="1259">
        <f>SUM(Q347:Q356)</f>
        <v>389267</v>
      </c>
      <c r="R357" s="1259">
        <f>SUM(R347:R356)</f>
        <v>447088</v>
      </c>
      <c r="S357" s="1259">
        <f>SUM(S347:S356)</f>
        <v>447088</v>
      </c>
      <c r="T357" s="1261">
        <f t="shared" ref="T357:AC357" si="137">SUM(T347:T355)</f>
        <v>0</v>
      </c>
      <c r="U357" s="1259">
        <f t="shared" si="137"/>
        <v>0</v>
      </c>
      <c r="V357" s="1259">
        <f t="shared" si="137"/>
        <v>0</v>
      </c>
      <c r="W357" s="1259">
        <f t="shared" si="137"/>
        <v>374578</v>
      </c>
      <c r="X357" s="1259">
        <f t="shared" si="137"/>
        <v>0</v>
      </c>
      <c r="Y357" s="1259">
        <f t="shared" si="137"/>
        <v>0</v>
      </c>
      <c r="Z357" s="1259">
        <f t="shared" si="137"/>
        <v>0</v>
      </c>
      <c r="AA357" s="1259">
        <f t="shared" si="137"/>
        <v>0</v>
      </c>
      <c r="AB357" s="1259">
        <f t="shared" si="137"/>
        <v>0</v>
      </c>
      <c r="AC357" s="1259">
        <f t="shared" si="137"/>
        <v>42923</v>
      </c>
      <c r="AD357" s="81" t="str">
        <f t="shared" si="111"/>
        <v>סה"כ</v>
      </c>
      <c r="AG357" s="81"/>
    </row>
    <row r="358" spans="3:33" ht="15.6" customHeight="1" x14ac:dyDescent="0.25">
      <c r="C358" s="1210"/>
      <c r="D358" s="1246"/>
      <c r="E358" s="667"/>
      <c r="F358" s="1263"/>
      <c r="G358" s="667"/>
      <c r="H358" s="667"/>
      <c r="I358" s="667"/>
      <c r="J358" s="667"/>
      <c r="K358" s="667"/>
      <c r="P358" s="608"/>
      <c r="Q358" s="608"/>
      <c r="R358" s="608"/>
      <c r="S358" s="608"/>
      <c r="W358" s="667"/>
      <c r="X358" s="961"/>
      <c r="Y358" s="81"/>
      <c r="Z358" s="1212"/>
      <c r="AA358" s="1213"/>
      <c r="AB358" s="1213"/>
      <c r="AC358" s="1212">
        <f t="shared" si="135"/>
        <v>0</v>
      </c>
      <c r="AD358" s="81" t="str">
        <f t="shared" ref="AD358:AD426" si="138">LEFT(C358,4)</f>
        <v/>
      </c>
      <c r="AG358" s="1213"/>
    </row>
    <row r="359" spans="3:33" ht="15.6" customHeight="1" x14ac:dyDescent="0.25">
      <c r="C359" s="1210">
        <v>847100.84</v>
      </c>
      <c r="D359" s="689" t="s">
        <v>862</v>
      </c>
      <c r="E359" s="667">
        <v>16228</v>
      </c>
      <c r="F359" s="667">
        <v>0</v>
      </c>
      <c r="G359" s="667">
        <f t="shared" ref="G359:G364" si="139">F359/10*2</f>
        <v>0</v>
      </c>
      <c r="H359" s="667">
        <f t="shared" ref="H359:H364" si="140">F359+G359</f>
        <v>0</v>
      </c>
      <c r="I359" s="667">
        <v>16228</v>
      </c>
      <c r="J359" s="667">
        <v>0</v>
      </c>
      <c r="K359" s="667">
        <v>16228</v>
      </c>
      <c r="P359" s="608">
        <v>0</v>
      </c>
      <c r="Q359" s="608">
        <f>P359/9*12</f>
        <v>0</v>
      </c>
      <c r="R359" s="608">
        <v>14667</v>
      </c>
      <c r="S359" s="608">
        <f t="shared" ref="S359:S365" si="141">R359</f>
        <v>14667</v>
      </c>
      <c r="W359" s="667">
        <v>16228</v>
      </c>
      <c r="X359" s="961"/>
      <c r="Y359" s="81"/>
      <c r="Z359" s="1212"/>
      <c r="AA359" s="1213"/>
      <c r="AB359" s="1213"/>
      <c r="AC359" s="1212">
        <f t="shared" si="135"/>
        <v>0</v>
      </c>
      <c r="AG359" s="1213"/>
    </row>
    <row r="360" spans="3:33" ht="15.6" customHeight="1" x14ac:dyDescent="0.25">
      <c r="C360" s="1210">
        <v>847100.84100000001</v>
      </c>
      <c r="D360" s="689" t="s">
        <v>863</v>
      </c>
      <c r="E360" s="667">
        <v>5424</v>
      </c>
      <c r="F360" s="667"/>
      <c r="G360" s="667">
        <f t="shared" si="139"/>
        <v>0</v>
      </c>
      <c r="H360" s="667">
        <f t="shared" si="140"/>
        <v>0</v>
      </c>
      <c r="I360" s="667">
        <v>5424</v>
      </c>
      <c r="J360" s="667">
        <v>0</v>
      </c>
      <c r="K360" s="667">
        <v>5424</v>
      </c>
      <c r="P360" s="608">
        <v>0</v>
      </c>
      <c r="Q360" s="608">
        <f>P360/9*12</f>
        <v>0</v>
      </c>
      <c r="R360" s="608">
        <v>16800</v>
      </c>
      <c r="S360" s="608">
        <f t="shared" si="141"/>
        <v>16800</v>
      </c>
      <c r="W360" s="667">
        <v>5424</v>
      </c>
      <c r="X360" s="961"/>
      <c r="Y360" s="81"/>
      <c r="Z360" s="81"/>
      <c r="AA360" s="81"/>
      <c r="AB360" s="81"/>
      <c r="AC360" s="1212">
        <f t="shared" si="135"/>
        <v>0</v>
      </c>
      <c r="AG360" s="81"/>
    </row>
    <row r="361" spans="3:33" ht="15.6" customHeight="1" x14ac:dyDescent="0.25">
      <c r="C361" s="1210">
        <v>847100.84199999995</v>
      </c>
      <c r="D361" s="689" t="s">
        <v>864</v>
      </c>
      <c r="E361" s="667">
        <v>1223</v>
      </c>
      <c r="F361" s="667">
        <v>1223</v>
      </c>
      <c r="G361" s="667">
        <f t="shared" si="139"/>
        <v>244.6</v>
      </c>
      <c r="H361" s="667">
        <f t="shared" si="140"/>
        <v>1467.6</v>
      </c>
      <c r="I361" s="667">
        <v>1223</v>
      </c>
      <c r="J361" s="667">
        <v>0</v>
      </c>
      <c r="K361" s="667">
        <v>1223</v>
      </c>
      <c r="P361" s="608">
        <v>12584</v>
      </c>
      <c r="Q361" s="608">
        <v>12584</v>
      </c>
      <c r="R361" s="608">
        <v>0</v>
      </c>
      <c r="S361" s="608">
        <f t="shared" si="141"/>
        <v>0</v>
      </c>
      <c r="W361" s="667">
        <v>1223</v>
      </c>
      <c r="X361" s="961"/>
      <c r="Y361" s="81"/>
      <c r="Z361" s="81"/>
      <c r="AA361" s="1213"/>
      <c r="AB361" s="1213"/>
      <c r="AC361" s="1212">
        <f t="shared" si="135"/>
        <v>0</v>
      </c>
      <c r="AG361" s="1213"/>
    </row>
    <row r="362" spans="3:33" ht="15.6" customHeight="1" x14ac:dyDescent="0.25">
      <c r="C362" s="1210">
        <v>847100.84299999999</v>
      </c>
      <c r="D362" s="689" t="s">
        <v>865</v>
      </c>
      <c r="E362" s="667">
        <v>74520</v>
      </c>
      <c r="F362" s="667">
        <v>99111</v>
      </c>
      <c r="G362" s="667">
        <f t="shared" si="139"/>
        <v>19822.2</v>
      </c>
      <c r="H362" s="667">
        <f t="shared" si="140"/>
        <v>118933.2</v>
      </c>
      <c r="I362" s="667">
        <v>74520</v>
      </c>
      <c r="J362" s="667">
        <v>22190</v>
      </c>
      <c r="K362" s="667">
        <v>74520</v>
      </c>
      <c r="L362" s="1209"/>
      <c r="M362" s="1209"/>
      <c r="N362" s="1209"/>
      <c r="O362" s="1209"/>
      <c r="P362" s="608">
        <v>84182</v>
      </c>
      <c r="Q362" s="608">
        <v>116941</v>
      </c>
      <c r="R362" s="608">
        <v>153000</v>
      </c>
      <c r="S362" s="608">
        <f t="shared" si="141"/>
        <v>153000</v>
      </c>
      <c r="W362" s="667">
        <v>74520</v>
      </c>
      <c r="X362" s="961"/>
      <c r="Y362" s="81"/>
      <c r="Z362" s="81"/>
      <c r="AA362" s="81"/>
      <c r="AB362" s="81"/>
      <c r="AC362" s="1212">
        <f t="shared" si="135"/>
        <v>0</v>
      </c>
      <c r="AG362" s="81"/>
    </row>
    <row r="363" spans="3:33" ht="15.6" customHeight="1" x14ac:dyDescent="0.25">
      <c r="C363" s="1210">
        <v>847300.84</v>
      </c>
      <c r="D363" s="689" t="s">
        <v>866</v>
      </c>
      <c r="E363" s="667">
        <v>13333</v>
      </c>
      <c r="F363" s="667">
        <f>7207+4369</f>
        <v>11576</v>
      </c>
      <c r="G363" s="667">
        <f t="shared" si="139"/>
        <v>2315.1999999999998</v>
      </c>
      <c r="H363" s="667">
        <f t="shared" si="140"/>
        <v>13891.2</v>
      </c>
      <c r="I363" s="667">
        <v>13333</v>
      </c>
      <c r="J363" s="667">
        <v>7831</v>
      </c>
      <c r="K363" s="667">
        <v>13333</v>
      </c>
      <c r="P363" s="608">
        <v>10364</v>
      </c>
      <c r="Q363" s="608">
        <v>12908</v>
      </c>
      <c r="R363" s="608">
        <v>10667</v>
      </c>
      <c r="S363" s="608">
        <f t="shared" si="141"/>
        <v>10667</v>
      </c>
      <c r="W363" s="667">
        <v>13333</v>
      </c>
      <c r="X363" s="961"/>
      <c r="Y363" s="81"/>
      <c r="Z363" s="81"/>
      <c r="AA363" s="81"/>
      <c r="AB363" s="81"/>
      <c r="AC363" s="1212">
        <f t="shared" si="135"/>
        <v>0</v>
      </c>
      <c r="AG363" s="81"/>
    </row>
    <row r="364" spans="3:33" ht="15.6" customHeight="1" x14ac:dyDescent="0.25">
      <c r="C364" s="1210">
        <v>847412.84</v>
      </c>
      <c r="D364" s="689" t="s">
        <v>1783</v>
      </c>
      <c r="E364" s="667">
        <v>37624</v>
      </c>
      <c r="F364" s="667">
        <f>36491+25723</f>
        <v>62214</v>
      </c>
      <c r="G364" s="667">
        <f t="shared" si="139"/>
        <v>12442.8</v>
      </c>
      <c r="H364" s="667">
        <f t="shared" si="140"/>
        <v>74656.800000000003</v>
      </c>
      <c r="I364" s="667">
        <v>37624</v>
      </c>
      <c r="J364" s="667">
        <v>11928</v>
      </c>
      <c r="K364" s="667">
        <v>37624</v>
      </c>
      <c r="P364" s="608">
        <v>10059</v>
      </c>
      <c r="Q364" s="608">
        <v>33961</v>
      </c>
      <c r="R364" s="608">
        <v>0</v>
      </c>
      <c r="S364" s="608">
        <f t="shared" si="141"/>
        <v>0</v>
      </c>
      <c r="W364" s="667">
        <v>37624</v>
      </c>
      <c r="X364" s="961"/>
      <c r="Y364" s="81"/>
      <c r="Z364" s="81"/>
      <c r="AA364" s="81"/>
      <c r="AB364" s="81"/>
      <c r="AC364" s="1212">
        <f t="shared" si="135"/>
        <v>0</v>
      </c>
      <c r="AG364" s="81"/>
    </row>
    <row r="365" spans="3:33" ht="15.6" customHeight="1" x14ac:dyDescent="0.25">
      <c r="C365" s="1210">
        <v>847413.84</v>
      </c>
      <c r="D365" s="689" t="s">
        <v>3262</v>
      </c>
      <c r="E365" s="667"/>
      <c r="F365" s="667"/>
      <c r="G365" s="667"/>
      <c r="H365" s="667"/>
      <c r="I365" s="667"/>
      <c r="J365" s="667"/>
      <c r="K365" s="667"/>
      <c r="P365" s="608"/>
      <c r="Q365" s="608"/>
      <c r="R365" s="608">
        <v>152245</v>
      </c>
      <c r="S365" s="608">
        <f t="shared" si="141"/>
        <v>152245</v>
      </c>
      <c r="W365" s="667"/>
      <c r="X365" s="961"/>
      <c r="Y365" s="81"/>
      <c r="Z365" s="81"/>
      <c r="AA365" s="81"/>
      <c r="AB365" s="81"/>
      <c r="AC365" s="1212"/>
      <c r="AG365" s="81"/>
    </row>
    <row r="366" spans="3:33" ht="15.6" customHeight="1" x14ac:dyDescent="0.25">
      <c r="C366" s="1210" t="s">
        <v>868</v>
      </c>
      <c r="D366" s="1232" t="s">
        <v>869</v>
      </c>
      <c r="E366" s="1259">
        <f t="shared" ref="E366:Q366" si="142">SUM(E359:E364)</f>
        <v>148352</v>
      </c>
      <c r="F366" s="1259">
        <f t="shared" si="142"/>
        <v>174124</v>
      </c>
      <c r="G366" s="1259">
        <f t="shared" si="142"/>
        <v>34824.800000000003</v>
      </c>
      <c r="H366" s="1259">
        <f t="shared" si="142"/>
        <v>208948.8</v>
      </c>
      <c r="I366" s="1259">
        <f t="shared" si="142"/>
        <v>148352</v>
      </c>
      <c r="J366" s="1259">
        <f t="shared" si="142"/>
        <v>41949</v>
      </c>
      <c r="K366" s="1259">
        <f t="shared" si="142"/>
        <v>148352</v>
      </c>
      <c r="L366" s="1259">
        <f t="shared" si="142"/>
        <v>0</v>
      </c>
      <c r="M366" s="1259">
        <f t="shared" si="142"/>
        <v>0</v>
      </c>
      <c r="N366" s="1259">
        <f t="shared" si="142"/>
        <v>0</v>
      </c>
      <c r="O366" s="1260">
        <f t="shared" si="142"/>
        <v>0</v>
      </c>
      <c r="P366" s="1259">
        <f t="shared" si="142"/>
        <v>117189</v>
      </c>
      <c r="Q366" s="1259">
        <f t="shared" si="142"/>
        <v>176394</v>
      </c>
      <c r="R366" s="1259">
        <f>SUM(R359:R365)</f>
        <v>347379</v>
      </c>
      <c r="S366" s="1259">
        <f>SUM(S359:S365)</f>
        <v>347379</v>
      </c>
      <c r="T366" s="1261">
        <f t="shared" ref="T366:AC366" si="143">SUM(T359:T364)</f>
        <v>0</v>
      </c>
      <c r="U366" s="1259">
        <f t="shared" si="143"/>
        <v>0</v>
      </c>
      <c r="V366" s="1259">
        <f t="shared" si="143"/>
        <v>0</v>
      </c>
      <c r="W366" s="1259">
        <f t="shared" si="143"/>
        <v>148352</v>
      </c>
      <c r="X366" s="1259">
        <f t="shared" si="143"/>
        <v>0</v>
      </c>
      <c r="Y366" s="1259">
        <f t="shared" si="143"/>
        <v>0</v>
      </c>
      <c r="Z366" s="1259">
        <f t="shared" si="143"/>
        <v>0</v>
      </c>
      <c r="AA366" s="1259">
        <f t="shared" si="143"/>
        <v>0</v>
      </c>
      <c r="AB366" s="1259">
        <f t="shared" si="143"/>
        <v>0</v>
      </c>
      <c r="AC366" s="1259">
        <f t="shared" si="143"/>
        <v>0</v>
      </c>
      <c r="AD366" s="81" t="str">
        <f t="shared" si="138"/>
        <v>סה"כ</v>
      </c>
      <c r="AG366" s="81"/>
    </row>
    <row r="367" spans="3:33" ht="15.6" customHeight="1" x14ac:dyDescent="0.25">
      <c r="C367" s="1210"/>
      <c r="D367" s="1283"/>
      <c r="E367" s="1284"/>
      <c r="F367" s="1259"/>
      <c r="G367" s="667"/>
      <c r="H367" s="667"/>
      <c r="I367" s="1259"/>
      <c r="J367" s="1259"/>
      <c r="K367" s="1259"/>
      <c r="L367" s="1209"/>
      <c r="M367" s="1209"/>
      <c r="N367" s="1209"/>
      <c r="O367" s="1209"/>
      <c r="P367" s="608"/>
      <c r="Q367" s="608"/>
      <c r="R367" s="608"/>
      <c r="S367" s="608"/>
      <c r="W367" s="1259"/>
      <c r="X367" s="1264"/>
      <c r="Y367" s="81"/>
      <c r="Z367" s="1212"/>
      <c r="AA367" s="1213"/>
      <c r="AB367" s="1213"/>
      <c r="AC367" s="1212">
        <f t="shared" si="135"/>
        <v>0</v>
      </c>
      <c r="AD367" s="81" t="str">
        <f t="shared" si="138"/>
        <v/>
      </c>
      <c r="AG367" s="1213"/>
    </row>
    <row r="368" spans="3:33" ht="15.6" customHeight="1" x14ac:dyDescent="0.25">
      <c r="C368" s="1210">
        <v>848300.84</v>
      </c>
      <c r="D368" s="1285" t="s">
        <v>870</v>
      </c>
      <c r="E368" s="1286">
        <v>6250</v>
      </c>
      <c r="F368" s="1263">
        <v>0</v>
      </c>
      <c r="G368" s="667">
        <v>6250</v>
      </c>
      <c r="H368" s="667">
        <f>F368+G368</f>
        <v>6250</v>
      </c>
      <c r="I368" s="667">
        <v>6250</v>
      </c>
      <c r="J368" s="667">
        <v>0</v>
      </c>
      <c r="K368" s="667">
        <v>6250</v>
      </c>
      <c r="P368" s="608">
        <v>0</v>
      </c>
      <c r="Q368" s="608">
        <f>P368/9*12</f>
        <v>0</v>
      </c>
      <c r="R368" s="608">
        <v>0</v>
      </c>
      <c r="S368" s="608">
        <v>0</v>
      </c>
      <c r="W368" s="667">
        <v>6250</v>
      </c>
      <c r="X368" s="961"/>
      <c r="Y368" s="81"/>
      <c r="Z368" s="81"/>
      <c r="AA368" s="81"/>
      <c r="AB368" s="81"/>
      <c r="AC368" s="1212">
        <f t="shared" si="135"/>
        <v>0</v>
      </c>
      <c r="AG368" s="81"/>
    </row>
    <row r="369" spans="3:33" ht="15.6" customHeight="1" x14ac:dyDescent="0.25">
      <c r="C369" s="1210">
        <v>848200.84</v>
      </c>
      <c r="D369" s="1285" t="s">
        <v>871</v>
      </c>
      <c r="E369" s="1286">
        <v>90000</v>
      </c>
      <c r="F369" s="1263">
        <v>0</v>
      </c>
      <c r="G369" s="667">
        <v>90000</v>
      </c>
      <c r="H369" s="667">
        <f>F369+G369</f>
        <v>90000</v>
      </c>
      <c r="I369" s="667">
        <f>90000+166670</f>
        <v>256670</v>
      </c>
      <c r="J369" s="667">
        <v>0</v>
      </c>
      <c r="K369" s="667">
        <v>256670</v>
      </c>
      <c r="L369" s="1209"/>
      <c r="M369" s="1209"/>
      <c r="N369" s="1209"/>
      <c r="O369" s="1209"/>
      <c r="P369" s="608">
        <v>0</v>
      </c>
      <c r="Q369" s="608">
        <f>P369/9*12</f>
        <v>0</v>
      </c>
      <c r="R369" s="608">
        <v>159600</v>
      </c>
      <c r="S369" s="608">
        <v>159600</v>
      </c>
      <c r="W369" s="667">
        <f>90000+166670</f>
        <v>256670</v>
      </c>
      <c r="X369" s="961"/>
      <c r="Y369" s="81"/>
      <c r="Z369" s="81"/>
      <c r="AA369" s="81"/>
      <c r="AB369" s="81"/>
      <c r="AC369" s="1212">
        <f t="shared" si="135"/>
        <v>0</v>
      </c>
      <c r="AG369" s="81"/>
    </row>
    <row r="370" spans="3:33" ht="15.6" customHeight="1" x14ac:dyDescent="0.25">
      <c r="C370" s="1231" t="s">
        <v>872</v>
      </c>
      <c r="D370" s="1232" t="s">
        <v>873</v>
      </c>
      <c r="E370" s="1259">
        <f t="shared" ref="E370:S370" si="144">SUM(E368:E369)</f>
        <v>96250</v>
      </c>
      <c r="F370" s="1259">
        <f t="shared" si="144"/>
        <v>0</v>
      </c>
      <c r="G370" s="1259">
        <f t="shared" si="144"/>
        <v>96250</v>
      </c>
      <c r="H370" s="1259">
        <f t="shared" si="144"/>
        <v>96250</v>
      </c>
      <c r="I370" s="1259">
        <f t="shared" si="144"/>
        <v>262920</v>
      </c>
      <c r="J370" s="1259">
        <f t="shared" si="144"/>
        <v>0</v>
      </c>
      <c r="K370" s="1259">
        <f t="shared" si="144"/>
        <v>262920</v>
      </c>
      <c r="L370" s="1259">
        <f t="shared" si="144"/>
        <v>0</v>
      </c>
      <c r="M370" s="1259">
        <f t="shared" si="144"/>
        <v>0</v>
      </c>
      <c r="N370" s="1259">
        <f t="shared" si="144"/>
        <v>0</v>
      </c>
      <c r="O370" s="1260">
        <f t="shared" si="144"/>
        <v>0</v>
      </c>
      <c r="P370" s="1259">
        <f t="shared" si="144"/>
        <v>0</v>
      </c>
      <c r="Q370" s="1259">
        <f t="shared" si="144"/>
        <v>0</v>
      </c>
      <c r="R370" s="1259">
        <f t="shared" si="144"/>
        <v>159600</v>
      </c>
      <c r="S370" s="1259">
        <f t="shared" si="144"/>
        <v>159600</v>
      </c>
      <c r="T370" s="1261">
        <f t="shared" ref="T370:AC370" si="145">SUM(T368:T369)</f>
        <v>0</v>
      </c>
      <c r="U370" s="1259">
        <f t="shared" si="145"/>
        <v>0</v>
      </c>
      <c r="V370" s="1259">
        <f t="shared" si="145"/>
        <v>0</v>
      </c>
      <c r="W370" s="1259">
        <f t="shared" si="145"/>
        <v>262920</v>
      </c>
      <c r="X370" s="1259">
        <f t="shared" si="145"/>
        <v>0</v>
      </c>
      <c r="Y370" s="1259">
        <f t="shared" si="145"/>
        <v>0</v>
      </c>
      <c r="Z370" s="1259">
        <f t="shared" si="145"/>
        <v>0</v>
      </c>
      <c r="AA370" s="1259">
        <f t="shared" si="145"/>
        <v>0</v>
      </c>
      <c r="AB370" s="1259">
        <f t="shared" si="145"/>
        <v>0</v>
      </c>
      <c r="AC370" s="1259">
        <f t="shared" si="145"/>
        <v>0</v>
      </c>
      <c r="AD370" s="81" t="str">
        <f t="shared" si="138"/>
        <v>סה"כ</v>
      </c>
      <c r="AG370" s="1213"/>
    </row>
    <row r="371" spans="3:33" ht="15.6" customHeight="1" x14ac:dyDescent="0.25">
      <c r="C371" s="1231"/>
      <c r="D371" s="1287"/>
      <c r="E371" s="1288"/>
      <c r="F371" s="1263"/>
      <c r="G371" s="667"/>
      <c r="H371" s="667"/>
      <c r="I371" s="667"/>
      <c r="J371" s="667"/>
      <c r="K371" s="667"/>
      <c r="P371" s="608"/>
      <c r="Q371" s="608"/>
      <c r="R371" s="608"/>
      <c r="S371" s="608"/>
      <c r="W371" s="667"/>
      <c r="X371" s="961"/>
      <c r="Y371" s="81"/>
      <c r="Z371" s="81"/>
      <c r="AA371" s="81"/>
      <c r="AB371" s="81"/>
      <c r="AC371" s="1212">
        <f t="shared" si="135"/>
        <v>0</v>
      </c>
      <c r="AD371" s="81" t="str">
        <f t="shared" si="138"/>
        <v/>
      </c>
      <c r="AG371" s="81"/>
    </row>
    <row r="372" spans="3:33" s="1226" customFormat="1" ht="22.5" customHeight="1" x14ac:dyDescent="0.25">
      <c r="C372" s="1238" t="s">
        <v>874</v>
      </c>
      <c r="D372" s="1239" t="s">
        <v>50</v>
      </c>
      <c r="E372" s="695">
        <f t="shared" ref="E372:S372" si="146">E294+E301+E314+E327+E345+E357+E366+E370</f>
        <v>7166879.25</v>
      </c>
      <c r="F372" s="695">
        <f t="shared" si="146"/>
        <v>6741358</v>
      </c>
      <c r="G372" s="695">
        <f t="shared" si="146"/>
        <v>959233.20000000007</v>
      </c>
      <c r="H372" s="695">
        <f t="shared" si="146"/>
        <v>7700591.2000000002</v>
      </c>
      <c r="I372" s="695">
        <f t="shared" si="146"/>
        <v>7700807</v>
      </c>
      <c r="J372" s="695">
        <f t="shared" si="146"/>
        <v>4041940</v>
      </c>
      <c r="K372" s="695">
        <f t="shared" si="146"/>
        <v>8477522</v>
      </c>
      <c r="L372" s="695">
        <f t="shared" si="146"/>
        <v>0</v>
      </c>
      <c r="M372" s="695">
        <f t="shared" si="146"/>
        <v>0</v>
      </c>
      <c r="N372" s="695">
        <f t="shared" si="146"/>
        <v>0</v>
      </c>
      <c r="O372" s="1271">
        <f t="shared" si="146"/>
        <v>0</v>
      </c>
      <c r="P372" s="695">
        <f t="shared" si="146"/>
        <v>6470303.0800000001</v>
      </c>
      <c r="Q372" s="695">
        <f t="shared" si="146"/>
        <v>8616641</v>
      </c>
      <c r="R372" s="695">
        <f t="shared" si="146"/>
        <v>8378769.4540666668</v>
      </c>
      <c r="S372" s="695">
        <f t="shared" si="146"/>
        <v>8426094.7081479989</v>
      </c>
      <c r="T372" s="1272">
        <f t="shared" ref="T372:AC372" si="147">T294+T301+T314+T327+T345+T357+T366+T370</f>
        <v>0</v>
      </c>
      <c r="U372" s="695">
        <f t="shared" si="147"/>
        <v>0</v>
      </c>
      <c r="V372" s="695">
        <f t="shared" si="147"/>
        <v>0</v>
      </c>
      <c r="W372" s="695">
        <f t="shared" si="147"/>
        <v>5033374</v>
      </c>
      <c r="X372" s="695">
        <f t="shared" si="147"/>
        <v>0</v>
      </c>
      <c r="Y372" s="695">
        <f t="shared" si="147"/>
        <v>0</v>
      </c>
      <c r="Z372" s="695">
        <f t="shared" si="147"/>
        <v>0</v>
      </c>
      <c r="AA372" s="695">
        <f t="shared" si="147"/>
        <v>0</v>
      </c>
      <c r="AB372" s="695">
        <f t="shared" si="147"/>
        <v>0</v>
      </c>
      <c r="AC372" s="695">
        <f t="shared" si="147"/>
        <v>776715</v>
      </c>
      <c r="AD372" s="81" t="str">
        <f t="shared" si="138"/>
        <v>סה"כ</v>
      </c>
      <c r="AG372" s="1213"/>
    </row>
    <row r="373" spans="3:33" ht="15.6" customHeight="1" x14ac:dyDescent="0.25">
      <c r="C373" s="1289"/>
      <c r="D373" s="1246"/>
      <c r="E373" s="1290"/>
      <c r="F373" s="1263"/>
      <c r="G373" s="667">
        <f>F373/9*3</f>
        <v>0</v>
      </c>
      <c r="H373" s="667"/>
      <c r="I373" s="1290"/>
      <c r="J373" s="1290"/>
      <c r="K373" s="1290"/>
      <c r="P373" s="608"/>
      <c r="Q373" s="608"/>
      <c r="R373" s="608"/>
      <c r="S373" s="608"/>
      <c r="W373" s="1290"/>
      <c r="X373" s="1291"/>
      <c r="Y373" s="81"/>
      <c r="Z373" s="1212"/>
      <c r="AA373" s="1213"/>
      <c r="AB373" s="1213"/>
      <c r="AC373" s="1212">
        <f t="shared" si="135"/>
        <v>0</v>
      </c>
      <c r="AD373" s="81" t="str">
        <f t="shared" si="138"/>
        <v/>
      </c>
      <c r="AG373" s="1213"/>
    </row>
    <row r="374" spans="3:33" ht="15.6" customHeight="1" x14ac:dyDescent="0.25">
      <c r="C374" s="1210">
        <v>851000.43200000003</v>
      </c>
      <c r="D374" s="1237" t="s">
        <v>1705</v>
      </c>
      <c r="E374" s="610">
        <v>77915</v>
      </c>
      <c r="F374" s="610">
        <v>57850</v>
      </c>
      <c r="G374" s="667">
        <f>F374/11</f>
        <v>5259.090909090909</v>
      </c>
      <c r="H374" s="667">
        <f>F374+G374</f>
        <v>63109.090909090912</v>
      </c>
      <c r="I374" s="610">
        <v>77915</v>
      </c>
      <c r="J374" s="610">
        <v>5982</v>
      </c>
      <c r="K374" s="610">
        <v>77915</v>
      </c>
      <c r="P374" s="608">
        <v>10468</v>
      </c>
      <c r="Q374" s="608">
        <v>17279</v>
      </c>
      <c r="R374" s="1225">
        <v>77915</v>
      </c>
      <c r="S374" s="1225">
        <v>0</v>
      </c>
      <c r="W374" s="610">
        <v>77915</v>
      </c>
      <c r="X374" s="961"/>
      <c r="Y374" s="81">
        <v>77915</v>
      </c>
      <c r="Z374" s="81"/>
      <c r="AA374" s="81"/>
      <c r="AB374" s="81"/>
      <c r="AC374" s="1212">
        <f t="shared" si="135"/>
        <v>0</v>
      </c>
      <c r="AG374" s="81"/>
    </row>
    <row r="375" spans="3:33" s="1226" customFormat="1" ht="24.75" customHeight="1" x14ac:dyDescent="0.25">
      <c r="C375" s="1238" t="s">
        <v>875</v>
      </c>
      <c r="D375" s="1239" t="s">
        <v>876</v>
      </c>
      <c r="E375" s="695">
        <f t="shared" ref="E375:S375" si="148">SUM(E374:E374)</f>
        <v>77915</v>
      </c>
      <c r="F375" s="695">
        <f t="shared" si="148"/>
        <v>57850</v>
      </c>
      <c r="G375" s="695">
        <f t="shared" si="148"/>
        <v>5259.090909090909</v>
      </c>
      <c r="H375" s="695">
        <f t="shared" si="148"/>
        <v>63109.090909090912</v>
      </c>
      <c r="I375" s="695">
        <f t="shared" si="148"/>
        <v>77915</v>
      </c>
      <c r="J375" s="695">
        <f t="shared" si="148"/>
        <v>5982</v>
      </c>
      <c r="K375" s="695">
        <f t="shared" si="148"/>
        <v>77915</v>
      </c>
      <c r="L375" s="695">
        <f t="shared" si="148"/>
        <v>0</v>
      </c>
      <c r="M375" s="695">
        <f t="shared" si="148"/>
        <v>0</v>
      </c>
      <c r="N375" s="695">
        <f t="shared" si="148"/>
        <v>0</v>
      </c>
      <c r="O375" s="1271">
        <f t="shared" si="148"/>
        <v>0</v>
      </c>
      <c r="P375" s="695">
        <f t="shared" si="148"/>
        <v>10468</v>
      </c>
      <c r="Q375" s="695">
        <f t="shared" si="148"/>
        <v>17279</v>
      </c>
      <c r="R375" s="695">
        <f t="shared" si="148"/>
        <v>77915</v>
      </c>
      <c r="S375" s="695">
        <f t="shared" si="148"/>
        <v>0</v>
      </c>
      <c r="T375" s="1272">
        <f t="shared" ref="T375:AC375" si="149">SUM(T374:T374)</f>
        <v>0</v>
      </c>
      <c r="U375" s="695">
        <f t="shared" si="149"/>
        <v>0</v>
      </c>
      <c r="V375" s="695">
        <f t="shared" si="149"/>
        <v>0</v>
      </c>
      <c r="W375" s="695">
        <f t="shared" si="149"/>
        <v>77915</v>
      </c>
      <c r="X375" s="695">
        <f t="shared" si="149"/>
        <v>0</v>
      </c>
      <c r="Y375" s="695">
        <f t="shared" si="149"/>
        <v>77915</v>
      </c>
      <c r="Z375" s="695">
        <f t="shared" si="149"/>
        <v>0</v>
      </c>
      <c r="AA375" s="695">
        <f t="shared" si="149"/>
        <v>0</v>
      </c>
      <c r="AB375" s="695">
        <f t="shared" si="149"/>
        <v>0</v>
      </c>
      <c r="AC375" s="695">
        <f t="shared" si="149"/>
        <v>0</v>
      </c>
      <c r="AD375" s="81" t="str">
        <f t="shared" si="138"/>
        <v>סה"כ</v>
      </c>
      <c r="AG375" s="81"/>
    </row>
    <row r="376" spans="3:33" ht="15.6" customHeight="1" x14ac:dyDescent="0.25">
      <c r="C376" s="1210"/>
      <c r="D376" s="689"/>
      <c r="E376" s="667"/>
      <c r="F376" s="1263"/>
      <c r="G376" s="667"/>
      <c r="H376" s="667"/>
      <c r="I376" s="667"/>
      <c r="J376" s="667"/>
      <c r="K376" s="667"/>
      <c r="P376" s="608"/>
      <c r="Q376" s="608"/>
      <c r="R376" s="608"/>
      <c r="S376" s="608"/>
      <c r="W376" s="667"/>
      <c r="X376" s="961"/>
      <c r="Y376" s="81"/>
      <c r="Z376" s="81"/>
      <c r="AA376" s="81"/>
      <c r="AB376" s="81"/>
      <c r="AC376" s="1212">
        <f t="shared" si="135"/>
        <v>0</v>
      </c>
      <c r="AD376" s="81" t="str">
        <f t="shared" si="138"/>
        <v/>
      </c>
      <c r="AG376" s="81"/>
    </row>
    <row r="377" spans="3:33" ht="15.6" customHeight="1" x14ac:dyDescent="0.25">
      <c r="C377" s="1210">
        <v>878000.81</v>
      </c>
      <c r="D377" s="689" t="s">
        <v>877</v>
      </c>
      <c r="E377" s="667">
        <f>2500*12</f>
        <v>30000</v>
      </c>
      <c r="F377" s="667">
        <v>0</v>
      </c>
      <c r="G377" s="667">
        <v>30000</v>
      </c>
      <c r="H377" s="667">
        <f>F377+G377</f>
        <v>30000</v>
      </c>
      <c r="I377" s="667">
        <v>30000</v>
      </c>
      <c r="J377" s="667">
        <v>0</v>
      </c>
      <c r="K377" s="667">
        <v>30000</v>
      </c>
      <c r="L377" s="1209"/>
      <c r="M377" s="1209"/>
      <c r="N377" s="1209"/>
      <c r="O377" s="1209"/>
      <c r="P377" s="608">
        <v>0</v>
      </c>
      <c r="Q377" s="608">
        <f>P377/9*12</f>
        <v>0</v>
      </c>
      <c r="R377" s="1223">
        <v>0</v>
      </c>
      <c r="S377" s="1223">
        <v>0</v>
      </c>
      <c r="W377" s="667">
        <v>30000</v>
      </c>
      <c r="X377" s="961"/>
      <c r="Y377" s="81">
        <v>30000</v>
      </c>
      <c r="Z377" s="81"/>
      <c r="AA377" s="81"/>
      <c r="AB377" s="81"/>
      <c r="AC377" s="1212">
        <f t="shared" si="135"/>
        <v>0</v>
      </c>
      <c r="AG377" s="81"/>
    </row>
    <row r="378" spans="3:33" x14ac:dyDescent="0.25">
      <c r="C378" s="1210">
        <v>878000.75</v>
      </c>
      <c r="D378" s="689" t="s">
        <v>878</v>
      </c>
      <c r="E378" s="667">
        <f>120000</f>
        <v>120000</v>
      </c>
      <c r="F378" s="667">
        <v>0</v>
      </c>
      <c r="G378" s="667">
        <v>120000</v>
      </c>
      <c r="H378" s="667">
        <f>F378+G378</f>
        <v>120000</v>
      </c>
      <c r="I378" s="610">
        <v>120000</v>
      </c>
      <c r="J378" s="667">
        <v>0</v>
      </c>
      <c r="K378" s="667">
        <v>150000</v>
      </c>
      <c r="P378" s="608">
        <v>0</v>
      </c>
      <c r="Q378" s="608">
        <f>P378/9*12</f>
        <v>0</v>
      </c>
      <c r="R378" s="1225">
        <v>120000</v>
      </c>
      <c r="S378" s="1225">
        <v>120000</v>
      </c>
      <c r="W378" s="667">
        <v>120000</v>
      </c>
      <c r="X378" s="961"/>
      <c r="Y378" s="81">
        <v>150000</v>
      </c>
      <c r="Z378" s="81"/>
      <c r="AA378" s="81"/>
      <c r="AB378" s="81"/>
      <c r="AC378" s="1212">
        <f t="shared" si="135"/>
        <v>30000</v>
      </c>
      <c r="AG378" s="81"/>
    </row>
    <row r="379" spans="3:33" ht="15.6" customHeight="1" x14ac:dyDescent="0.25">
      <c r="C379" s="1210">
        <v>878000.78</v>
      </c>
      <c r="D379" s="689" t="s">
        <v>3293</v>
      </c>
      <c r="E379" s="667">
        <v>30000</v>
      </c>
      <c r="F379" s="667">
        <v>21829</v>
      </c>
      <c r="G379" s="667">
        <f>F379/11</f>
        <v>1984.4545454545455</v>
      </c>
      <c r="H379" s="667">
        <f>F379+G379</f>
        <v>23813.454545454544</v>
      </c>
      <c r="I379" s="667">
        <v>30000</v>
      </c>
      <c r="J379" s="667">
        <v>0</v>
      </c>
      <c r="K379" s="667">
        <v>30000</v>
      </c>
      <c r="L379" s="1209"/>
      <c r="M379" s="1209"/>
      <c r="N379" s="1209"/>
      <c r="O379" s="1209"/>
      <c r="P379" s="608">
        <v>0</v>
      </c>
      <c r="Q379" s="608">
        <f>P379/9*12</f>
        <v>0</v>
      </c>
      <c r="R379" s="1225">
        <v>32869</v>
      </c>
      <c r="S379" s="1225">
        <v>32869</v>
      </c>
      <c r="W379" s="667">
        <v>30000</v>
      </c>
      <c r="X379" s="961"/>
      <c r="Y379" s="81">
        <v>30000</v>
      </c>
      <c r="Z379" s="1212"/>
      <c r="AA379" s="1213"/>
      <c r="AB379" s="1213"/>
      <c r="AC379" s="1212">
        <f t="shared" si="135"/>
        <v>0</v>
      </c>
      <c r="AG379" s="1213"/>
    </row>
    <row r="380" spans="3:33" s="1226" customFormat="1" ht="18" customHeight="1" x14ac:dyDescent="0.25">
      <c r="C380" s="1238" t="s">
        <v>880</v>
      </c>
      <c r="D380" s="1239" t="s">
        <v>881</v>
      </c>
      <c r="E380" s="695">
        <f t="shared" ref="E380:S380" si="150">SUM(E377:E379)</f>
        <v>180000</v>
      </c>
      <c r="F380" s="695">
        <f t="shared" si="150"/>
        <v>21829</v>
      </c>
      <c r="G380" s="695">
        <f t="shared" si="150"/>
        <v>151984.45454545456</v>
      </c>
      <c r="H380" s="695">
        <f t="shared" si="150"/>
        <v>173813.45454545453</v>
      </c>
      <c r="I380" s="695">
        <f t="shared" si="150"/>
        <v>180000</v>
      </c>
      <c r="J380" s="695">
        <f t="shared" si="150"/>
        <v>0</v>
      </c>
      <c r="K380" s="695">
        <f t="shared" si="150"/>
        <v>210000</v>
      </c>
      <c r="L380" s="695">
        <f t="shared" si="150"/>
        <v>0</v>
      </c>
      <c r="M380" s="695">
        <f t="shared" si="150"/>
        <v>0</v>
      </c>
      <c r="N380" s="695">
        <f t="shared" si="150"/>
        <v>0</v>
      </c>
      <c r="O380" s="1271">
        <f t="shared" si="150"/>
        <v>0</v>
      </c>
      <c r="P380" s="695">
        <f t="shared" si="150"/>
        <v>0</v>
      </c>
      <c r="Q380" s="695">
        <f t="shared" si="150"/>
        <v>0</v>
      </c>
      <c r="R380" s="695">
        <f t="shared" si="150"/>
        <v>152869</v>
      </c>
      <c r="S380" s="695">
        <f t="shared" si="150"/>
        <v>152869</v>
      </c>
      <c r="T380" s="1272">
        <f t="shared" ref="T380:AC380" si="151">SUM(T377:T379)</f>
        <v>0</v>
      </c>
      <c r="U380" s="695">
        <f t="shared" si="151"/>
        <v>0</v>
      </c>
      <c r="V380" s="695">
        <f t="shared" si="151"/>
        <v>0</v>
      </c>
      <c r="W380" s="695">
        <f t="shared" si="151"/>
        <v>180000</v>
      </c>
      <c r="X380" s="695">
        <f t="shared" si="151"/>
        <v>0</v>
      </c>
      <c r="Y380" s="695">
        <f t="shared" si="151"/>
        <v>210000</v>
      </c>
      <c r="Z380" s="695">
        <f t="shared" si="151"/>
        <v>0</v>
      </c>
      <c r="AA380" s="695">
        <f t="shared" si="151"/>
        <v>0</v>
      </c>
      <c r="AB380" s="695">
        <f t="shared" si="151"/>
        <v>0</v>
      </c>
      <c r="AC380" s="695">
        <f t="shared" si="151"/>
        <v>30000</v>
      </c>
      <c r="AD380" s="81" t="str">
        <f t="shared" si="138"/>
        <v>סה"כ</v>
      </c>
      <c r="AG380" s="81"/>
    </row>
    <row r="381" spans="3:33" ht="15.6" customHeight="1" x14ac:dyDescent="0.25">
      <c r="C381" s="1292"/>
      <c r="D381" s="1240"/>
      <c r="E381" s="667"/>
      <c r="F381" s="90"/>
      <c r="G381" s="667">
        <f>F381/9*3</f>
        <v>0</v>
      </c>
      <c r="H381" s="667"/>
      <c r="I381" s="667"/>
      <c r="J381" s="667"/>
      <c r="K381" s="667"/>
      <c r="P381" s="608"/>
      <c r="Q381" s="608"/>
      <c r="R381" s="608"/>
      <c r="S381" s="608"/>
      <c r="W381" s="667"/>
      <c r="X381" s="961"/>
      <c r="Y381" s="81"/>
      <c r="Z381" s="1212"/>
      <c r="AA381" s="1213"/>
      <c r="AB381" s="1213"/>
      <c r="AC381" s="1212">
        <f t="shared" si="135"/>
        <v>0</v>
      </c>
      <c r="AD381" s="81" t="str">
        <f t="shared" si="138"/>
        <v/>
      </c>
      <c r="AG381" s="1213"/>
    </row>
    <row r="382" spans="3:33" s="1230" customFormat="1" ht="21.75" customHeight="1" x14ac:dyDescent="0.25">
      <c r="C382" s="1241" t="s">
        <v>882</v>
      </c>
      <c r="D382" s="1242" t="s">
        <v>883</v>
      </c>
      <c r="E382" s="1243">
        <f t="shared" ref="E382:AC382" ca="1" si="152">SUM(E380+E372+E281+E271+E240+E375)</f>
        <v>29378794.689999998</v>
      </c>
      <c r="F382" s="1243">
        <f t="shared" ca="1" si="152"/>
        <v>25328137</v>
      </c>
      <c r="G382" s="1243">
        <f t="shared" ca="1" si="152"/>
        <v>5479347.7636363646</v>
      </c>
      <c r="H382" s="1243">
        <f t="shared" ca="1" si="152"/>
        <v>30747921.781818185</v>
      </c>
      <c r="I382" s="1243">
        <f t="shared" ca="1" si="152"/>
        <v>30726292.326400001</v>
      </c>
      <c r="J382" s="1243">
        <f t="shared" ca="1" si="152"/>
        <v>15968245</v>
      </c>
      <c r="K382" s="1243">
        <f t="shared" ca="1" si="152"/>
        <v>33849470</v>
      </c>
      <c r="L382" s="1243">
        <f t="shared" ca="1" si="152"/>
        <v>0</v>
      </c>
      <c r="M382" s="1243">
        <f t="shared" ca="1" si="152"/>
        <v>0</v>
      </c>
      <c r="N382" s="1243">
        <f t="shared" ca="1" si="152"/>
        <v>0</v>
      </c>
      <c r="O382" s="1252">
        <f t="shared" ca="1" si="152"/>
        <v>0</v>
      </c>
      <c r="P382" s="1243">
        <f t="shared" ca="1" si="152"/>
        <v>25023134.429999996</v>
      </c>
      <c r="Q382" s="1243">
        <f t="shared" ca="1" si="152"/>
        <v>33436217</v>
      </c>
      <c r="R382" s="1243">
        <f t="shared" ca="1" si="152"/>
        <v>33365675.623733334</v>
      </c>
      <c r="S382" s="1243">
        <f t="shared" ca="1" si="152"/>
        <v>32710942.001692001</v>
      </c>
      <c r="T382" s="1253" t="e">
        <f t="shared" si="152"/>
        <v>#REF!</v>
      </c>
      <c r="U382" s="1243" t="e">
        <f t="shared" si="152"/>
        <v>#REF!</v>
      </c>
      <c r="V382" s="1243" t="e">
        <f t="shared" si="152"/>
        <v>#REF!</v>
      </c>
      <c r="W382" s="1243" t="e">
        <f t="shared" si="152"/>
        <v>#REF!</v>
      </c>
      <c r="X382" s="1243" t="e">
        <f t="shared" si="152"/>
        <v>#REF!</v>
      </c>
      <c r="Y382" s="1243" t="e">
        <f t="shared" si="152"/>
        <v>#REF!</v>
      </c>
      <c r="Z382" s="1243" t="e">
        <f t="shared" si="152"/>
        <v>#REF!</v>
      </c>
      <c r="AA382" s="1243" t="e">
        <f t="shared" si="152"/>
        <v>#REF!</v>
      </c>
      <c r="AB382" s="1243" t="e">
        <f t="shared" si="152"/>
        <v>#REF!</v>
      </c>
      <c r="AC382" s="1243" t="e">
        <f t="shared" si="152"/>
        <v>#REF!</v>
      </c>
      <c r="AD382" s="81" t="str">
        <f t="shared" si="138"/>
        <v>סה"כ</v>
      </c>
      <c r="AG382" s="81"/>
    </row>
    <row r="383" spans="3:33" s="1276" customFormat="1" ht="15.6" customHeight="1" x14ac:dyDescent="0.25">
      <c r="C383" s="1292"/>
      <c r="D383" s="1246"/>
      <c r="E383" s="667"/>
      <c r="F383" s="90"/>
      <c r="G383" s="667"/>
      <c r="H383" s="667"/>
      <c r="I383" s="667"/>
      <c r="J383" s="667"/>
      <c r="K383" s="667"/>
      <c r="P383" s="608"/>
      <c r="Q383" s="608"/>
      <c r="R383" s="608"/>
      <c r="S383" s="608"/>
      <c r="W383" s="667"/>
      <c r="X383" s="961"/>
      <c r="Y383" s="81"/>
      <c r="Z383" s="1212"/>
      <c r="AA383" s="1213"/>
      <c r="AB383" s="81"/>
      <c r="AC383" s="1212">
        <f t="shared" si="135"/>
        <v>0</v>
      </c>
      <c r="AD383" s="81" t="str">
        <f t="shared" si="138"/>
        <v/>
      </c>
      <c r="AG383" s="1213"/>
    </row>
    <row r="384" spans="3:33" s="1276" customFormat="1" ht="15.6" customHeight="1" x14ac:dyDescent="0.25">
      <c r="C384" s="1215">
        <v>913000.11</v>
      </c>
      <c r="D384" s="1216" t="s">
        <v>884</v>
      </c>
      <c r="E384" s="1217">
        <f>מוניצ!I86</f>
        <v>388459</v>
      </c>
      <c r="F384" s="1217">
        <v>325988</v>
      </c>
      <c r="G384" s="1217">
        <f>F384/10*2</f>
        <v>65197.599999999999</v>
      </c>
      <c r="H384" s="1217">
        <f t="shared" ref="H384:H389" si="153">F384+G384</f>
        <v>391185.6</v>
      </c>
      <c r="I384" s="1217">
        <v>152000</v>
      </c>
      <c r="J384" s="1217">
        <v>206588</v>
      </c>
      <c r="K384" s="1217">
        <f>מוניצ!K86</f>
        <v>377000</v>
      </c>
      <c r="P384" s="1217">
        <f>שכר!AG399</f>
        <v>384540.34</v>
      </c>
      <c r="Q384" s="1217">
        <v>356145</v>
      </c>
      <c r="R384" s="1217">
        <f>שכר!AM399</f>
        <v>224806.4382</v>
      </c>
      <c r="S384" s="1217">
        <v>0</v>
      </c>
      <c r="W384" s="1217">
        <f>מוניצ!AH86</f>
        <v>0</v>
      </c>
      <c r="X384" s="961"/>
      <c r="Y384" s="81"/>
      <c r="Z384" s="81"/>
      <c r="AA384" s="1213"/>
      <c r="AB384" s="1213"/>
      <c r="AC384" s="1212">
        <f t="shared" si="135"/>
        <v>225000</v>
      </c>
      <c r="AD384" s="81" t="str">
        <f t="shared" si="138"/>
        <v>9130</v>
      </c>
      <c r="AG384" s="1213"/>
    </row>
    <row r="385" spans="3:33" s="1276" customFormat="1" ht="15.6" customHeight="1" x14ac:dyDescent="0.25">
      <c r="C385" s="1210">
        <v>913000.42</v>
      </c>
      <c r="D385" s="689" t="s">
        <v>885</v>
      </c>
      <c r="E385" s="667">
        <f>50000</f>
        <v>50000</v>
      </c>
      <c r="F385" s="667">
        <v>48218</v>
      </c>
      <c r="G385" s="667">
        <f>F385/11</f>
        <v>4383.454545454545</v>
      </c>
      <c r="H385" s="667">
        <f t="shared" si="153"/>
        <v>52601.454545454544</v>
      </c>
      <c r="I385" s="667">
        <f>E385/4</f>
        <v>12500</v>
      </c>
      <c r="J385" s="667">
        <f>11333+2900</f>
        <v>14233</v>
      </c>
      <c r="K385" s="667">
        <v>50000</v>
      </c>
      <c r="P385" s="608">
        <f>49956+6000</f>
        <v>55956</v>
      </c>
      <c r="Q385" s="608">
        <f>49956+6000</f>
        <v>55956</v>
      </c>
      <c r="R385" s="1225">
        <v>56000</v>
      </c>
      <c r="S385" s="1225">
        <v>0</v>
      </c>
      <c r="W385" s="667">
        <v>0</v>
      </c>
      <c r="X385" s="961"/>
      <c r="Y385" s="81">
        <v>50000</v>
      </c>
      <c r="Z385" s="1212"/>
      <c r="AA385" s="1213"/>
      <c r="AB385" s="1213"/>
      <c r="AC385" s="1212">
        <f t="shared" si="135"/>
        <v>37500</v>
      </c>
      <c r="AD385" s="81"/>
      <c r="AG385" s="1213"/>
    </row>
    <row r="386" spans="3:33" ht="15.6" customHeight="1" x14ac:dyDescent="0.25">
      <c r="C386" s="1210">
        <v>913000.73100000003</v>
      </c>
      <c r="D386" s="689" t="s">
        <v>886</v>
      </c>
      <c r="E386" s="667">
        <f>1500*12</f>
        <v>18000</v>
      </c>
      <c r="F386" s="610">
        <v>14992</v>
      </c>
      <c r="G386" s="667">
        <f>F386/11</f>
        <v>1362.909090909091</v>
      </c>
      <c r="H386" s="667">
        <f t="shared" si="153"/>
        <v>16354.909090909092</v>
      </c>
      <c r="I386" s="667">
        <f>E386/4</f>
        <v>4500</v>
      </c>
      <c r="J386" s="667">
        <v>11717</v>
      </c>
      <c r="K386" s="667">
        <v>18000</v>
      </c>
      <c r="P386" s="608">
        <v>16266</v>
      </c>
      <c r="Q386" s="608">
        <v>18746</v>
      </c>
      <c r="R386" s="1225">
        <v>20000</v>
      </c>
      <c r="S386" s="1225">
        <v>0</v>
      </c>
      <c r="W386" s="667">
        <v>0</v>
      </c>
      <c r="X386" s="961"/>
      <c r="Y386" s="81">
        <f>1500*12</f>
        <v>18000</v>
      </c>
      <c r="Z386" s="81"/>
      <c r="AA386" s="81"/>
      <c r="AB386" s="81"/>
      <c r="AC386" s="1212">
        <f t="shared" si="135"/>
        <v>13500</v>
      </c>
      <c r="AG386" s="81"/>
    </row>
    <row r="387" spans="3:33" ht="15.6" customHeight="1" x14ac:dyDescent="0.25">
      <c r="C387" s="1210">
        <v>913000.73499999999</v>
      </c>
      <c r="D387" s="689" t="s">
        <v>887</v>
      </c>
      <c r="E387" s="667">
        <f>5000*12</f>
        <v>60000</v>
      </c>
      <c r="F387" s="610">
        <v>37229</v>
      </c>
      <c r="G387" s="667">
        <f>F387/11</f>
        <v>3384.4545454545455</v>
      </c>
      <c r="H387" s="667">
        <f t="shared" si="153"/>
        <v>40613.454545454544</v>
      </c>
      <c r="I387" s="667">
        <f>E387/4</f>
        <v>15000</v>
      </c>
      <c r="J387" s="667">
        <v>23820</v>
      </c>
      <c r="K387" s="667">
        <v>66000</v>
      </c>
      <c r="P387" s="608">
        <v>41814</v>
      </c>
      <c r="Q387" s="608">
        <v>59516</v>
      </c>
      <c r="R387" s="1234">
        <v>60000</v>
      </c>
      <c r="S387" s="1225">
        <v>0</v>
      </c>
      <c r="W387" s="667">
        <v>0</v>
      </c>
      <c r="X387" s="961"/>
      <c r="Y387" s="81">
        <f>5500*12</f>
        <v>66000</v>
      </c>
      <c r="Z387" s="81"/>
      <c r="AA387" s="81"/>
      <c r="AB387" s="81"/>
      <c r="AC387" s="1212">
        <f t="shared" si="135"/>
        <v>51000</v>
      </c>
      <c r="AG387" s="81"/>
    </row>
    <row r="388" spans="3:33" ht="15.6" customHeight="1" x14ac:dyDescent="0.25">
      <c r="C388" s="1210">
        <v>913000.75</v>
      </c>
      <c r="D388" s="689" t="s">
        <v>888</v>
      </c>
      <c r="E388" s="667">
        <f>4200*12</f>
        <v>50400</v>
      </c>
      <c r="F388" s="667">
        <v>40028</v>
      </c>
      <c r="G388" s="667">
        <f>F388/11</f>
        <v>3638.909090909091</v>
      </c>
      <c r="H388" s="667">
        <f t="shared" si="153"/>
        <v>43666.909090909088</v>
      </c>
      <c r="I388" s="667">
        <f>E388/4</f>
        <v>12600</v>
      </c>
      <c r="J388" s="667">
        <v>12600</v>
      </c>
      <c r="K388" s="667">
        <v>50000</v>
      </c>
      <c r="P388" s="608">
        <v>43690</v>
      </c>
      <c r="Q388" s="608">
        <v>52827</v>
      </c>
      <c r="R388" s="1234">
        <v>53000</v>
      </c>
      <c r="S388" s="1225">
        <v>0</v>
      </c>
      <c r="W388" s="667">
        <v>0</v>
      </c>
      <c r="X388" s="961"/>
      <c r="Y388" s="81">
        <v>50000</v>
      </c>
      <c r="Z388" s="1212"/>
      <c r="AA388" s="81"/>
      <c r="AB388" s="1213"/>
      <c r="AC388" s="1212">
        <f t="shared" si="135"/>
        <v>37400</v>
      </c>
      <c r="AG388" s="81"/>
    </row>
    <row r="389" spans="3:33" ht="15.6" customHeight="1" x14ac:dyDescent="0.25">
      <c r="C389" s="1236">
        <v>913100.76</v>
      </c>
      <c r="D389" s="1237" t="s">
        <v>889</v>
      </c>
      <c r="E389" s="610">
        <v>10384100</v>
      </c>
      <c r="F389" s="667">
        <v>9498654</v>
      </c>
      <c r="G389" s="667">
        <f>F389/11</f>
        <v>863514</v>
      </c>
      <c r="H389" s="667">
        <f t="shared" si="153"/>
        <v>10362168</v>
      </c>
      <c r="I389" s="667">
        <v>1777000</v>
      </c>
      <c r="J389" s="667">
        <v>3113673</v>
      </c>
      <c r="K389" s="667">
        <v>10362168</v>
      </c>
      <c r="P389" s="608">
        <v>5052063</v>
      </c>
      <c r="Q389" s="608">
        <v>6257137</v>
      </c>
      <c r="R389" s="1234">
        <v>6257000</v>
      </c>
      <c r="S389" s="1225">
        <v>0</v>
      </c>
      <c r="W389" s="610">
        <v>0</v>
      </c>
      <c r="X389" s="961"/>
      <c r="Y389" s="81">
        <v>10362168</v>
      </c>
      <c r="Z389" s="81"/>
      <c r="AA389" s="81"/>
      <c r="AB389" s="81"/>
      <c r="AC389" s="1212">
        <f>K389-I389</f>
        <v>8585168</v>
      </c>
      <c r="AG389" s="81"/>
    </row>
    <row r="390" spans="3:33" ht="15.6" customHeight="1" x14ac:dyDescent="0.25">
      <c r="C390" s="1236">
        <v>913100.73</v>
      </c>
      <c r="D390" s="1237" t="s">
        <v>890</v>
      </c>
      <c r="E390" s="610">
        <f>707000</f>
        <v>707000</v>
      </c>
      <c r="F390" s="667">
        <v>151206</v>
      </c>
      <c r="G390" s="667">
        <f>H390-F390</f>
        <v>555794</v>
      </c>
      <c r="H390" s="667">
        <f>E390</f>
        <v>707000</v>
      </c>
      <c r="I390" s="667">
        <v>40000</v>
      </c>
      <c r="J390" s="667">
        <v>29337</v>
      </c>
      <c r="K390" s="667">
        <v>707000</v>
      </c>
      <c r="P390" s="608">
        <v>29337</v>
      </c>
      <c r="Q390" s="608">
        <v>29337</v>
      </c>
      <c r="R390" s="1234">
        <v>0</v>
      </c>
      <c r="S390" s="1225">
        <v>0</v>
      </c>
      <c r="W390" s="610">
        <v>0</v>
      </c>
      <c r="X390" s="961"/>
      <c r="Y390" s="81">
        <v>707000</v>
      </c>
      <c r="Z390" s="1212"/>
      <c r="AA390" s="81"/>
      <c r="AB390" s="1213"/>
      <c r="AC390" s="1212">
        <f t="shared" si="135"/>
        <v>667000</v>
      </c>
      <c r="AG390" s="81"/>
    </row>
    <row r="391" spans="3:33" ht="15.6" customHeight="1" x14ac:dyDescent="0.25">
      <c r="C391" s="1210">
        <v>913100.75</v>
      </c>
      <c r="D391" s="689" t="s">
        <v>891</v>
      </c>
      <c r="E391" s="667">
        <f>24000*12</f>
        <v>288000</v>
      </c>
      <c r="F391" s="667">
        <v>264000</v>
      </c>
      <c r="G391" s="667">
        <f>F391/11</f>
        <v>24000</v>
      </c>
      <c r="H391" s="667">
        <f>F391+G391</f>
        <v>288000</v>
      </c>
      <c r="I391" s="667">
        <f>24000*3</f>
        <v>72000</v>
      </c>
      <c r="J391" s="667">
        <f>95917+X391</f>
        <v>119917</v>
      </c>
      <c r="K391" s="667">
        <v>0</v>
      </c>
      <c r="P391" s="608">
        <v>0</v>
      </c>
      <c r="Q391" s="608">
        <v>229917</v>
      </c>
      <c r="R391" s="1234">
        <v>0</v>
      </c>
      <c r="S391" s="1225">
        <v>0</v>
      </c>
      <c r="W391" s="667">
        <v>0</v>
      </c>
      <c r="X391" s="961">
        <v>24000</v>
      </c>
      <c r="Y391" s="81">
        <v>0</v>
      </c>
      <c r="Z391" s="1212"/>
      <c r="AA391" s="81"/>
      <c r="AB391" s="1213"/>
      <c r="AC391" s="1212">
        <f t="shared" si="135"/>
        <v>-72000</v>
      </c>
      <c r="AG391" s="81"/>
    </row>
    <row r="392" spans="3:33" ht="15.6" customHeight="1" x14ac:dyDescent="0.25">
      <c r="C392" s="1210">
        <v>913200.77</v>
      </c>
      <c r="D392" s="689" t="s">
        <v>892</v>
      </c>
      <c r="E392" s="667">
        <v>83288</v>
      </c>
      <c r="F392" s="667">
        <v>34989</v>
      </c>
      <c r="G392" s="667">
        <f>F392/11</f>
        <v>3180.818181818182</v>
      </c>
      <c r="H392" s="667">
        <f>F392+G392</f>
        <v>38169.818181818184</v>
      </c>
      <c r="I392" s="667">
        <f>E392/4</f>
        <v>20822</v>
      </c>
      <c r="J392" s="667">
        <v>15955</v>
      </c>
      <c r="K392" s="667">
        <v>85000</v>
      </c>
      <c r="L392" s="1209"/>
      <c r="M392" s="1209"/>
      <c r="N392" s="1209"/>
      <c r="O392" s="1209"/>
      <c r="P392" s="608">
        <v>30298</v>
      </c>
      <c r="Q392" s="608">
        <v>38114</v>
      </c>
      <c r="R392" s="1234">
        <v>39000</v>
      </c>
      <c r="S392" s="1225">
        <v>0</v>
      </c>
      <c r="W392" s="667">
        <v>0</v>
      </c>
      <c r="X392" s="961"/>
      <c r="Y392" s="81">
        <v>85000</v>
      </c>
      <c r="Z392" s="81"/>
      <c r="AA392" s="81"/>
      <c r="AB392" s="81"/>
      <c r="AC392" s="1212">
        <f t="shared" si="135"/>
        <v>64178</v>
      </c>
      <c r="AG392" s="81"/>
    </row>
    <row r="393" spans="3:33" ht="15.6" customHeight="1" x14ac:dyDescent="0.25">
      <c r="C393" s="1210">
        <v>913200.78</v>
      </c>
      <c r="D393" s="689" t="s">
        <v>2050</v>
      </c>
      <c r="E393" s="667"/>
      <c r="F393" s="667"/>
      <c r="G393" s="667"/>
      <c r="H393" s="667"/>
      <c r="I393" s="667"/>
      <c r="J393" s="667"/>
      <c r="K393" s="667">
        <v>300000</v>
      </c>
      <c r="P393" s="608">
        <v>0</v>
      </c>
      <c r="Q393" s="608">
        <f>P393/9*12</f>
        <v>0</v>
      </c>
      <c r="R393" s="1293">
        <v>20000</v>
      </c>
      <c r="S393" s="1225">
        <v>0</v>
      </c>
      <c r="W393" s="667"/>
      <c r="X393" s="961"/>
      <c r="Y393" s="81"/>
      <c r="Z393" s="81"/>
      <c r="AA393" s="81"/>
      <c r="AB393" s="81"/>
      <c r="AC393" s="1212"/>
      <c r="AG393" s="81"/>
    </row>
    <row r="394" spans="3:33" s="1226" customFormat="1" ht="18" customHeight="1" x14ac:dyDescent="0.25">
      <c r="C394" s="1238" t="s">
        <v>893</v>
      </c>
      <c r="D394" s="1239" t="s">
        <v>894</v>
      </c>
      <c r="E394" s="695">
        <f t="shared" ref="E394:J394" si="154">SUM(E384:E392)</f>
        <v>12029247</v>
      </c>
      <c r="F394" s="695">
        <f t="shared" si="154"/>
        <v>10415304</v>
      </c>
      <c r="G394" s="695">
        <f t="shared" si="154"/>
        <v>1524456.1454545453</v>
      </c>
      <c r="H394" s="695">
        <f t="shared" si="154"/>
        <v>11939760.145454546</v>
      </c>
      <c r="I394" s="695">
        <f t="shared" si="154"/>
        <v>2106422</v>
      </c>
      <c r="J394" s="695">
        <f t="shared" si="154"/>
        <v>3547840</v>
      </c>
      <c r="K394" s="695">
        <f t="shared" ref="K394:S394" si="155">SUM(K384:K393)</f>
        <v>12015168</v>
      </c>
      <c r="L394" s="695">
        <f t="shared" si="155"/>
        <v>0</v>
      </c>
      <c r="M394" s="695">
        <f t="shared" si="155"/>
        <v>0</v>
      </c>
      <c r="N394" s="695">
        <f t="shared" si="155"/>
        <v>0</v>
      </c>
      <c r="O394" s="1271">
        <f t="shared" si="155"/>
        <v>0</v>
      </c>
      <c r="P394" s="695">
        <f t="shared" si="155"/>
        <v>5653964.3399999999</v>
      </c>
      <c r="Q394" s="695">
        <f t="shared" si="155"/>
        <v>7097695</v>
      </c>
      <c r="R394" s="695">
        <f t="shared" si="155"/>
        <v>6729806.4381999997</v>
      </c>
      <c r="S394" s="695">
        <f t="shared" si="155"/>
        <v>0</v>
      </c>
      <c r="T394" s="1272">
        <f t="shared" ref="T394:AC394" si="156">SUM(T384:T393)</f>
        <v>0</v>
      </c>
      <c r="U394" s="695">
        <f t="shared" si="156"/>
        <v>0</v>
      </c>
      <c r="V394" s="695">
        <f t="shared" si="156"/>
        <v>0</v>
      </c>
      <c r="W394" s="695">
        <f t="shared" si="156"/>
        <v>0</v>
      </c>
      <c r="X394" s="695">
        <f t="shared" si="156"/>
        <v>24000</v>
      </c>
      <c r="Y394" s="695">
        <f t="shared" si="156"/>
        <v>11338168</v>
      </c>
      <c r="Z394" s="695">
        <f t="shared" si="156"/>
        <v>0</v>
      </c>
      <c r="AA394" s="695">
        <f t="shared" si="156"/>
        <v>0</v>
      </c>
      <c r="AB394" s="695">
        <f t="shared" si="156"/>
        <v>0</v>
      </c>
      <c r="AC394" s="695">
        <f t="shared" si="156"/>
        <v>9608746</v>
      </c>
      <c r="AD394" s="81" t="str">
        <f t="shared" si="138"/>
        <v>סה"כ</v>
      </c>
      <c r="AG394" s="1213"/>
    </row>
    <row r="395" spans="3:33" ht="15.6" customHeight="1" x14ac:dyDescent="0.25">
      <c r="C395" s="1210"/>
      <c r="D395" s="689"/>
      <c r="E395" s="667"/>
      <c r="F395" s="90"/>
      <c r="G395" s="667"/>
      <c r="H395" s="667"/>
      <c r="I395" s="667"/>
      <c r="J395" s="667"/>
      <c r="K395" s="667"/>
      <c r="M395" s="1214"/>
      <c r="P395" s="608"/>
      <c r="Q395" s="608"/>
      <c r="R395" s="608"/>
      <c r="S395" s="608"/>
      <c r="W395" s="667"/>
      <c r="X395" s="961"/>
      <c r="Y395" s="81"/>
      <c r="Z395" s="81"/>
      <c r="AA395" s="81"/>
      <c r="AB395" s="81"/>
      <c r="AC395" s="1212">
        <f>K395-I395</f>
        <v>0</v>
      </c>
      <c r="AD395" s="81" t="str">
        <f>LEFT(C395,4)</f>
        <v/>
      </c>
      <c r="AG395" s="81"/>
    </row>
    <row r="396" spans="3:33" ht="15.6" customHeight="1" x14ac:dyDescent="0.25">
      <c r="C396" s="1210">
        <v>938000.41</v>
      </c>
      <c r="D396" s="689" t="s">
        <v>895</v>
      </c>
      <c r="E396" s="610">
        <v>31800</v>
      </c>
      <c r="F396" s="610">
        <v>29150</v>
      </c>
      <c r="G396" s="667">
        <f>F396/11</f>
        <v>2650</v>
      </c>
      <c r="H396" s="667">
        <f>F396+G396</f>
        <v>31800</v>
      </c>
      <c r="I396" s="610">
        <v>31800</v>
      </c>
      <c r="J396" s="610">
        <v>15900</v>
      </c>
      <c r="K396" s="610">
        <f>J396*2</f>
        <v>31800</v>
      </c>
      <c r="L396" s="1209"/>
      <c r="M396" s="1209"/>
      <c r="N396" s="1209"/>
      <c r="O396" s="1209"/>
      <c r="P396" s="608">
        <v>23850</v>
      </c>
      <c r="Q396" s="608">
        <f>P396/9*12</f>
        <v>31800</v>
      </c>
      <c r="R396" s="1225">
        <v>31800</v>
      </c>
      <c r="S396" s="1225">
        <v>31800</v>
      </c>
      <c r="W396" s="610">
        <v>31800</v>
      </c>
      <c r="X396" s="961"/>
      <c r="Y396" s="81"/>
      <c r="Z396" s="81"/>
      <c r="AA396" s="1213"/>
      <c r="AB396" s="1213"/>
      <c r="AC396" s="1212">
        <f t="shared" si="135"/>
        <v>0</v>
      </c>
      <c r="AG396" s="1213"/>
    </row>
    <row r="397" spans="3:33" ht="15.6" customHeight="1" x14ac:dyDescent="0.25">
      <c r="C397" s="1210">
        <v>938000.43099999998</v>
      </c>
      <c r="D397" s="689" t="s">
        <v>896</v>
      </c>
      <c r="E397" s="667">
        <v>3000</v>
      </c>
      <c r="F397" s="667">
        <v>1136</v>
      </c>
      <c r="G397" s="667">
        <f>F397/11</f>
        <v>103.27272727272727</v>
      </c>
      <c r="H397" s="667">
        <f>F397+G397</f>
        <v>1239.2727272727273</v>
      </c>
      <c r="I397" s="667">
        <v>725</v>
      </c>
      <c r="J397" s="667">
        <v>489</v>
      </c>
      <c r="K397" s="610">
        <f>J397*2</f>
        <v>978</v>
      </c>
      <c r="P397" s="608">
        <v>783</v>
      </c>
      <c r="Q397" s="608">
        <v>896</v>
      </c>
      <c r="R397" s="1225">
        <v>978</v>
      </c>
      <c r="S397" s="1225">
        <f>978+508</f>
        <v>1486</v>
      </c>
      <c r="W397" s="667">
        <v>725</v>
      </c>
      <c r="X397" s="961"/>
      <c r="Y397" s="81"/>
      <c r="Z397" s="81"/>
      <c r="AA397" s="81"/>
      <c r="AB397" s="81"/>
      <c r="AC397" s="1212">
        <f t="shared" si="135"/>
        <v>253</v>
      </c>
      <c r="AG397" s="81"/>
    </row>
    <row r="398" spans="3:33" ht="15.6" customHeight="1" x14ac:dyDescent="0.25">
      <c r="C398" s="1236">
        <v>939000.41</v>
      </c>
      <c r="D398" s="1237" t="s">
        <v>773</v>
      </c>
      <c r="E398" s="610">
        <v>30000</v>
      </c>
      <c r="F398" s="610">
        <v>27500</v>
      </c>
      <c r="G398" s="610">
        <f>F398/11</f>
        <v>2500</v>
      </c>
      <c r="H398" s="610">
        <f>F398+G398</f>
        <v>30000</v>
      </c>
      <c r="I398" s="610">
        <v>30000</v>
      </c>
      <c r="J398" s="610">
        <v>15000</v>
      </c>
      <c r="K398" s="610">
        <v>30000</v>
      </c>
      <c r="L398" s="1235"/>
      <c r="M398" s="1235"/>
      <c r="N398" s="1235"/>
      <c r="O398" s="1235"/>
      <c r="P398" s="610">
        <v>22500</v>
      </c>
      <c r="Q398" s="610">
        <f>P398/9*12</f>
        <v>30000</v>
      </c>
      <c r="R398" s="1234">
        <v>30000</v>
      </c>
      <c r="S398" s="1234">
        <v>30000</v>
      </c>
      <c r="W398" s="667"/>
      <c r="X398" s="961"/>
      <c r="Y398" s="81"/>
      <c r="Z398" s="81"/>
      <c r="AA398" s="81"/>
      <c r="AB398" s="81"/>
      <c r="AC398" s="1212"/>
      <c r="AG398" s="81"/>
    </row>
    <row r="399" spans="3:33" s="1226" customFormat="1" ht="18" customHeight="1" x14ac:dyDescent="0.25">
      <c r="C399" s="1238" t="s">
        <v>897</v>
      </c>
      <c r="D399" s="1239" t="s">
        <v>143</v>
      </c>
      <c r="E399" s="695">
        <f>SUM(E396:E398)</f>
        <v>64800</v>
      </c>
      <c r="F399" s="695">
        <f t="shared" ref="F399:S399" si="157">SUM(F396:F398)</f>
        <v>57786</v>
      </c>
      <c r="G399" s="695">
        <f t="shared" si="157"/>
        <v>5253.2727272727279</v>
      </c>
      <c r="H399" s="695">
        <f t="shared" si="157"/>
        <v>63039.272727272728</v>
      </c>
      <c r="I399" s="695">
        <f t="shared" si="157"/>
        <v>62525</v>
      </c>
      <c r="J399" s="695">
        <f t="shared" si="157"/>
        <v>31389</v>
      </c>
      <c r="K399" s="695">
        <f t="shared" si="157"/>
        <v>62778</v>
      </c>
      <c r="L399" s="695">
        <f t="shared" si="157"/>
        <v>0</v>
      </c>
      <c r="M399" s="695">
        <f t="shared" si="157"/>
        <v>0</v>
      </c>
      <c r="N399" s="695">
        <f t="shared" si="157"/>
        <v>0</v>
      </c>
      <c r="O399" s="695">
        <f t="shared" si="157"/>
        <v>0</v>
      </c>
      <c r="P399" s="695">
        <f t="shared" si="157"/>
        <v>47133</v>
      </c>
      <c r="Q399" s="695">
        <f t="shared" si="157"/>
        <v>62696</v>
      </c>
      <c r="R399" s="695">
        <f t="shared" si="157"/>
        <v>62778</v>
      </c>
      <c r="S399" s="695">
        <f t="shared" si="157"/>
        <v>63286</v>
      </c>
      <c r="T399" s="1272">
        <f t="shared" ref="T399:AC399" si="158">SUM(T396:T397)</f>
        <v>0</v>
      </c>
      <c r="U399" s="695">
        <f t="shared" si="158"/>
        <v>0</v>
      </c>
      <c r="V399" s="695">
        <f t="shared" si="158"/>
        <v>0</v>
      </c>
      <c r="W399" s="695">
        <f t="shared" si="158"/>
        <v>32525</v>
      </c>
      <c r="X399" s="695">
        <f t="shared" si="158"/>
        <v>0</v>
      </c>
      <c r="Y399" s="695">
        <f t="shared" si="158"/>
        <v>0</v>
      </c>
      <c r="Z399" s="695">
        <f t="shared" si="158"/>
        <v>0</v>
      </c>
      <c r="AA399" s="695">
        <f t="shared" si="158"/>
        <v>0</v>
      </c>
      <c r="AB399" s="695">
        <f t="shared" si="158"/>
        <v>0</v>
      </c>
      <c r="AC399" s="695">
        <f t="shared" si="158"/>
        <v>253</v>
      </c>
      <c r="AD399" s="81" t="str">
        <f t="shared" si="138"/>
        <v>סה"כ</v>
      </c>
      <c r="AG399" s="81"/>
    </row>
    <row r="400" spans="3:33" s="1226" customFormat="1" ht="18" customHeight="1" x14ac:dyDescent="0.25">
      <c r="C400" s="1238"/>
      <c r="D400" s="1239"/>
      <c r="E400" s="695"/>
      <c r="F400" s="695"/>
      <c r="G400" s="695"/>
      <c r="H400" s="695"/>
      <c r="I400" s="695"/>
      <c r="J400" s="695"/>
      <c r="K400" s="695"/>
      <c r="L400" s="1248"/>
      <c r="M400" s="1248"/>
      <c r="N400" s="1248"/>
      <c r="O400" s="1248"/>
      <c r="P400" s="695"/>
      <c r="Q400" s="695"/>
      <c r="R400" s="695"/>
      <c r="S400" s="695"/>
      <c r="T400" s="1248"/>
      <c r="U400" s="1248"/>
      <c r="V400" s="1248"/>
      <c r="W400" s="695"/>
      <c r="X400" s="1248"/>
      <c r="Y400" s="1248"/>
      <c r="Z400" s="1248"/>
      <c r="AA400" s="1248"/>
      <c r="AB400" s="1248"/>
      <c r="AC400" s="1248"/>
      <c r="AD400" s="81"/>
      <c r="AG400" s="81"/>
    </row>
    <row r="401" spans="3:36" s="1230" customFormat="1" ht="15.6" customHeight="1" x14ac:dyDescent="0.25">
      <c r="C401" s="1236">
        <v>943200.75</v>
      </c>
      <c r="D401" s="689" t="s">
        <v>3215</v>
      </c>
      <c r="E401" s="667">
        <v>0</v>
      </c>
      <c r="F401" s="610"/>
      <c r="G401" s="667"/>
      <c r="H401" s="667">
        <v>0</v>
      </c>
      <c r="I401" s="667">
        <v>0</v>
      </c>
      <c r="J401" s="667"/>
      <c r="K401" s="667"/>
      <c r="P401" s="608"/>
      <c r="Q401" s="608">
        <v>0</v>
      </c>
      <c r="R401" s="667">
        <v>100000</v>
      </c>
      <c r="S401" s="667">
        <v>50000</v>
      </c>
      <c r="W401" s="667"/>
      <c r="X401" s="961"/>
      <c r="Y401" s="81"/>
      <c r="Z401" s="1212"/>
      <c r="AA401" s="1213"/>
      <c r="AB401" s="1213"/>
      <c r="AC401" s="1212"/>
      <c r="AD401" s="81"/>
      <c r="AG401" s="1213"/>
    </row>
    <row r="402" spans="3:36" s="1226" customFormat="1" ht="18" customHeight="1" x14ac:dyDescent="0.25">
      <c r="C402" s="1238" t="s">
        <v>3305</v>
      </c>
      <c r="D402" s="1239" t="s">
        <v>143</v>
      </c>
      <c r="E402" s="695">
        <f>E401</f>
        <v>0</v>
      </c>
      <c r="F402" s="695">
        <f t="shared" ref="F402:S402" si="159">F401</f>
        <v>0</v>
      </c>
      <c r="G402" s="695">
        <f t="shared" si="159"/>
        <v>0</v>
      </c>
      <c r="H402" s="695">
        <f t="shared" si="159"/>
        <v>0</v>
      </c>
      <c r="I402" s="695">
        <f t="shared" si="159"/>
        <v>0</v>
      </c>
      <c r="J402" s="695">
        <f t="shared" si="159"/>
        <v>0</v>
      </c>
      <c r="K402" s="695">
        <f t="shared" si="159"/>
        <v>0</v>
      </c>
      <c r="L402" s="695">
        <f t="shared" si="159"/>
        <v>0</v>
      </c>
      <c r="M402" s="695">
        <f t="shared" si="159"/>
        <v>0</v>
      </c>
      <c r="N402" s="695">
        <f t="shared" si="159"/>
        <v>0</v>
      </c>
      <c r="O402" s="695">
        <f t="shared" si="159"/>
        <v>0</v>
      </c>
      <c r="P402" s="695">
        <f t="shared" si="159"/>
        <v>0</v>
      </c>
      <c r="Q402" s="695">
        <f t="shared" si="159"/>
        <v>0</v>
      </c>
      <c r="R402" s="695">
        <f t="shared" si="159"/>
        <v>100000</v>
      </c>
      <c r="S402" s="695">
        <f t="shared" si="159"/>
        <v>50000</v>
      </c>
      <c r="T402" s="1248"/>
      <c r="U402" s="1248"/>
      <c r="V402" s="1248"/>
      <c r="W402" s="695"/>
      <c r="X402" s="1248"/>
      <c r="Y402" s="1248"/>
      <c r="Z402" s="1248"/>
      <c r="AA402" s="1248"/>
      <c r="AB402" s="1248"/>
      <c r="AC402" s="1248"/>
      <c r="AD402" s="81"/>
      <c r="AG402" s="81"/>
    </row>
    <row r="403" spans="3:36" ht="15.6" customHeight="1" x14ac:dyDescent="0.25">
      <c r="C403" s="1231"/>
      <c r="D403" s="1232"/>
      <c r="E403" s="667"/>
      <c r="F403" s="90"/>
      <c r="G403" s="667"/>
      <c r="H403" s="667"/>
      <c r="I403" s="667"/>
      <c r="J403" s="667"/>
      <c r="K403" s="667"/>
      <c r="P403" s="608"/>
      <c r="Q403" s="608"/>
      <c r="R403" s="608"/>
      <c r="S403" s="608"/>
      <c r="W403" s="667"/>
      <c r="X403" s="961"/>
      <c r="Y403" s="81"/>
      <c r="Z403" s="1212"/>
      <c r="AA403" s="81"/>
      <c r="AB403" s="1213"/>
      <c r="AC403" s="1212">
        <f t="shared" si="135"/>
        <v>0</v>
      </c>
      <c r="AD403" s="81" t="str">
        <f t="shared" si="138"/>
        <v/>
      </c>
      <c r="AG403" s="81"/>
    </row>
    <row r="404" spans="3:36" ht="15.6" customHeight="1" x14ac:dyDescent="0.25">
      <c r="C404" s="1210">
        <v>972000.69400000002</v>
      </c>
      <c r="D404" s="689" t="s">
        <v>898</v>
      </c>
      <c r="E404" s="610">
        <v>1156963</v>
      </c>
      <c r="F404" s="610">
        <v>1156963</v>
      </c>
      <c r="G404" s="667">
        <f>F404/11</f>
        <v>105178.45454545454</v>
      </c>
      <c r="H404" s="667">
        <f t="shared" ref="H404:H409" si="160">F404+G404</f>
        <v>1262141.4545454546</v>
      </c>
      <c r="I404" s="610">
        <f t="shared" ref="I404:I409" si="161">E404/4</f>
        <v>289240.75</v>
      </c>
      <c r="J404" s="610">
        <v>578482</v>
      </c>
      <c r="K404" s="610">
        <v>1262141</v>
      </c>
      <c r="P404" s="608">
        <v>867722</v>
      </c>
      <c r="Q404" s="608">
        <v>1155525</v>
      </c>
      <c r="R404" s="1225">
        <v>1155500</v>
      </c>
      <c r="S404" s="1225">
        <v>0</v>
      </c>
      <c r="W404" s="610">
        <v>0</v>
      </c>
      <c r="X404" s="961"/>
      <c r="Y404" s="81" t="s">
        <v>2039</v>
      </c>
      <c r="Z404" s="81"/>
      <c r="AA404" s="81"/>
      <c r="AB404" s="81"/>
      <c r="AC404" s="1212">
        <f t="shared" si="135"/>
        <v>972900.25</v>
      </c>
      <c r="AG404" s="81"/>
    </row>
    <row r="405" spans="3:36" ht="15.6" customHeight="1" x14ac:dyDescent="0.25">
      <c r="C405" s="1210">
        <v>972000.69499999995</v>
      </c>
      <c r="D405" s="689" t="s">
        <v>899</v>
      </c>
      <c r="E405" s="610">
        <v>1010000</v>
      </c>
      <c r="F405" s="610">
        <v>848948</v>
      </c>
      <c r="G405" s="667">
        <f>F405/11</f>
        <v>77177.090909090912</v>
      </c>
      <c r="H405" s="667">
        <f t="shared" si="160"/>
        <v>926125.09090909094</v>
      </c>
      <c r="I405" s="610">
        <f t="shared" si="161"/>
        <v>252500</v>
      </c>
      <c r="J405" s="610">
        <v>392469</v>
      </c>
      <c r="K405" s="610">
        <v>926125</v>
      </c>
      <c r="P405" s="608">
        <v>583566</v>
      </c>
      <c r="Q405" s="608">
        <v>770649</v>
      </c>
      <c r="R405" s="1225">
        <v>770600</v>
      </c>
      <c r="S405" s="1225">
        <v>0</v>
      </c>
      <c r="W405" s="610">
        <v>0</v>
      </c>
      <c r="X405" s="961"/>
      <c r="Y405" s="81"/>
      <c r="Z405" s="1212"/>
      <c r="AA405" s="81"/>
      <c r="AB405" s="1213"/>
      <c r="AC405" s="1212">
        <f t="shared" si="135"/>
        <v>673625</v>
      </c>
      <c r="AG405" s="81"/>
    </row>
    <row r="406" spans="3:36" ht="15.6" customHeight="1" x14ac:dyDescent="0.25">
      <c r="C406" s="1210">
        <v>972000.696</v>
      </c>
      <c r="D406" s="689" t="s">
        <v>900</v>
      </c>
      <c r="E406" s="610">
        <v>104000</v>
      </c>
      <c r="F406" s="610">
        <v>121349</v>
      </c>
      <c r="G406" s="667">
        <f>F406/11</f>
        <v>11031.727272727272</v>
      </c>
      <c r="H406" s="667">
        <f t="shared" si="160"/>
        <v>132380.72727272726</v>
      </c>
      <c r="I406" s="610">
        <f t="shared" si="161"/>
        <v>26000</v>
      </c>
      <c r="J406" s="610">
        <v>55528</v>
      </c>
      <c r="K406" s="610">
        <v>132381</v>
      </c>
      <c r="P406" s="608">
        <v>87063</v>
      </c>
      <c r="Q406" s="608">
        <v>116518</v>
      </c>
      <c r="R406" s="1225">
        <v>116500</v>
      </c>
      <c r="S406" s="1225">
        <v>0</v>
      </c>
      <c r="W406" s="610">
        <v>0</v>
      </c>
      <c r="X406" s="961"/>
      <c r="Y406" s="81"/>
      <c r="Z406" s="81"/>
      <c r="AA406" s="81"/>
      <c r="AB406" s="81"/>
      <c r="AC406" s="1212">
        <f t="shared" si="135"/>
        <v>106381</v>
      </c>
      <c r="AG406" s="81"/>
    </row>
    <row r="407" spans="3:36" ht="15.6" customHeight="1" x14ac:dyDescent="0.25">
      <c r="C407" s="1210">
        <v>973000.77</v>
      </c>
      <c r="D407" s="689" t="s">
        <v>901</v>
      </c>
      <c r="E407" s="667">
        <v>410000</v>
      </c>
      <c r="F407" s="610">
        <v>208387</v>
      </c>
      <c r="G407" s="667">
        <f>F407/11+182000</f>
        <v>200944.27272727274</v>
      </c>
      <c r="H407" s="667">
        <f t="shared" si="160"/>
        <v>409331.27272727271</v>
      </c>
      <c r="I407" s="610">
        <f t="shared" si="161"/>
        <v>102500</v>
      </c>
      <c r="J407" s="610">
        <v>145863</v>
      </c>
      <c r="K407" s="610">
        <v>409331</v>
      </c>
      <c r="P407" s="608">
        <v>147320</v>
      </c>
      <c r="Q407" s="608">
        <v>349339</v>
      </c>
      <c r="R407" s="1225">
        <v>15000</v>
      </c>
      <c r="S407" s="1225">
        <v>0</v>
      </c>
      <c r="W407" s="610">
        <v>0</v>
      </c>
      <c r="X407" s="961"/>
      <c r="Y407" s="81" t="s">
        <v>2039</v>
      </c>
      <c r="Z407" s="1212"/>
      <c r="AA407" s="1213"/>
      <c r="AB407" s="1213"/>
      <c r="AC407" s="1212">
        <f>K407-I407</f>
        <v>306831</v>
      </c>
      <c r="AG407" s="1213"/>
    </row>
    <row r="408" spans="3:36" ht="15.6" customHeight="1" x14ac:dyDescent="0.25">
      <c r="C408" s="1210">
        <v>973100.75</v>
      </c>
      <c r="D408" s="689" t="s">
        <v>902</v>
      </c>
      <c r="E408" s="610">
        <v>170000</v>
      </c>
      <c r="F408" s="610">
        <v>0</v>
      </c>
      <c r="G408" s="667">
        <v>170000</v>
      </c>
      <c r="H408" s="667">
        <f t="shared" si="160"/>
        <v>170000</v>
      </c>
      <c r="I408" s="610">
        <f t="shared" si="161"/>
        <v>42500</v>
      </c>
      <c r="J408" s="610">
        <v>0</v>
      </c>
      <c r="K408" s="610">
        <v>170000</v>
      </c>
      <c r="L408" s="1209"/>
      <c r="M408" s="1209"/>
      <c r="N408" s="1209"/>
      <c r="O408" s="1209"/>
      <c r="P408" s="608">
        <v>0</v>
      </c>
      <c r="Q408" s="608">
        <f>P408/9*12</f>
        <v>0</v>
      </c>
      <c r="R408" s="1293">
        <v>100000</v>
      </c>
      <c r="S408" s="1225">
        <v>0</v>
      </c>
      <c r="W408" s="610">
        <v>0</v>
      </c>
      <c r="X408" s="961"/>
      <c r="Y408" s="81" t="s">
        <v>2039</v>
      </c>
      <c r="Z408" s="81"/>
      <c r="AA408" s="81"/>
      <c r="AB408" s="81"/>
      <c r="AC408" s="1212">
        <f>K408-I408</f>
        <v>127500</v>
      </c>
      <c r="AG408" s="81"/>
    </row>
    <row r="409" spans="3:36" ht="15.6" customHeight="1" x14ac:dyDescent="0.25">
      <c r="C409" s="1210">
        <v>974000.75</v>
      </c>
      <c r="D409" s="689" t="s">
        <v>903</v>
      </c>
      <c r="E409" s="610">
        <f>220000/12*9</f>
        <v>165000</v>
      </c>
      <c r="F409" s="610">
        <v>132230</v>
      </c>
      <c r="G409" s="667">
        <f>F409/11</f>
        <v>12020.90909090909</v>
      </c>
      <c r="H409" s="667">
        <f t="shared" si="160"/>
        <v>144250.90909090909</v>
      </c>
      <c r="I409" s="610">
        <f t="shared" si="161"/>
        <v>41250</v>
      </c>
      <c r="J409" s="610">
        <v>50700</v>
      </c>
      <c r="K409" s="610">
        <v>144251</v>
      </c>
      <c r="P409" s="608">
        <f>88021+10000</f>
        <v>98021</v>
      </c>
      <c r="Q409" s="608">
        <v>136021</v>
      </c>
      <c r="R409" s="1225">
        <v>120000</v>
      </c>
      <c r="S409" s="1225">
        <v>0</v>
      </c>
      <c r="W409" s="610">
        <v>0</v>
      </c>
      <c r="X409" s="961"/>
      <c r="Y409" s="81" t="s">
        <v>2039</v>
      </c>
      <c r="Z409" s="81"/>
      <c r="AA409" s="81"/>
      <c r="AB409" s="81"/>
      <c r="AC409" s="1212">
        <f>K409-I409</f>
        <v>103001</v>
      </c>
      <c r="AG409" s="81"/>
    </row>
    <row r="410" spans="3:36" s="1226" customFormat="1" ht="18" customHeight="1" x14ac:dyDescent="0.25">
      <c r="C410" s="1238" t="s">
        <v>904</v>
      </c>
      <c r="D410" s="1239" t="s">
        <v>905</v>
      </c>
      <c r="E410" s="695">
        <f t="shared" ref="E410:S410" si="162">SUM(E404:E409)</f>
        <v>3015963</v>
      </c>
      <c r="F410" s="695">
        <f t="shared" si="162"/>
        <v>2467877</v>
      </c>
      <c r="G410" s="695">
        <f t="shared" si="162"/>
        <v>576352.45454545447</v>
      </c>
      <c r="H410" s="695">
        <f t="shared" si="162"/>
        <v>3044229.4545454541</v>
      </c>
      <c r="I410" s="695">
        <f t="shared" si="162"/>
        <v>753990.75</v>
      </c>
      <c r="J410" s="695">
        <f t="shared" si="162"/>
        <v>1223042</v>
      </c>
      <c r="K410" s="695">
        <f t="shared" si="162"/>
        <v>3044229</v>
      </c>
      <c r="L410" s="695">
        <f t="shared" si="162"/>
        <v>0</v>
      </c>
      <c r="M410" s="695">
        <f t="shared" si="162"/>
        <v>0</v>
      </c>
      <c r="N410" s="695">
        <f t="shared" si="162"/>
        <v>0</v>
      </c>
      <c r="O410" s="1271">
        <f t="shared" si="162"/>
        <v>0</v>
      </c>
      <c r="P410" s="695">
        <f t="shared" si="162"/>
        <v>1783692</v>
      </c>
      <c r="Q410" s="695">
        <f t="shared" si="162"/>
        <v>2528052</v>
      </c>
      <c r="R410" s="695">
        <f t="shared" si="162"/>
        <v>2277600</v>
      </c>
      <c r="S410" s="695">
        <f t="shared" si="162"/>
        <v>0</v>
      </c>
      <c r="T410" s="1272">
        <f t="shared" ref="T410:AC410" si="163">SUM(T404:T409)</f>
        <v>0</v>
      </c>
      <c r="U410" s="695">
        <f t="shared" si="163"/>
        <v>0</v>
      </c>
      <c r="V410" s="695">
        <f t="shared" si="163"/>
        <v>0</v>
      </c>
      <c r="W410" s="695">
        <f t="shared" si="163"/>
        <v>0</v>
      </c>
      <c r="X410" s="695">
        <f t="shared" si="163"/>
        <v>0</v>
      </c>
      <c r="Y410" s="695">
        <f t="shared" si="163"/>
        <v>0</v>
      </c>
      <c r="Z410" s="695">
        <f t="shared" si="163"/>
        <v>0</v>
      </c>
      <c r="AA410" s="695">
        <f t="shared" si="163"/>
        <v>0</v>
      </c>
      <c r="AB410" s="695">
        <f t="shared" si="163"/>
        <v>0</v>
      </c>
      <c r="AC410" s="695">
        <f t="shared" si="163"/>
        <v>2290238.25</v>
      </c>
      <c r="AD410" s="81" t="str">
        <f t="shared" si="138"/>
        <v>סה"כ</v>
      </c>
      <c r="AG410" s="1213"/>
    </row>
    <row r="411" spans="3:36" ht="15.6" customHeight="1" x14ac:dyDescent="0.25">
      <c r="C411" s="1210"/>
      <c r="D411" s="689"/>
      <c r="E411" s="667"/>
      <c r="F411" s="1263"/>
      <c r="G411" s="667">
        <f>F411/9*3</f>
        <v>0</v>
      </c>
      <c r="H411" s="667"/>
      <c r="I411" s="667"/>
      <c r="J411" s="667"/>
      <c r="K411" s="667"/>
      <c r="P411" s="608"/>
      <c r="Q411" s="608"/>
      <c r="R411" s="608"/>
      <c r="S411" s="608"/>
      <c r="W411" s="667"/>
      <c r="X411" s="961"/>
      <c r="Y411" s="81"/>
      <c r="Z411" s="81"/>
      <c r="AA411" s="81"/>
      <c r="AB411" s="81"/>
      <c r="AC411" s="1212">
        <f t="shared" si="135"/>
        <v>0</v>
      </c>
      <c r="AD411" s="81" t="str">
        <f t="shared" si="138"/>
        <v/>
      </c>
      <c r="AG411" s="81"/>
    </row>
    <row r="412" spans="3:36" ht="15.6" customHeight="1" x14ac:dyDescent="0.25">
      <c r="C412" s="1210">
        <v>993000.75</v>
      </c>
      <c r="D412" s="689" t="s">
        <v>1767</v>
      </c>
      <c r="E412" s="667">
        <v>0</v>
      </c>
      <c r="F412" s="1263">
        <v>0</v>
      </c>
      <c r="G412" s="667">
        <f>F412/9*3</f>
        <v>0</v>
      </c>
      <c r="H412" s="667">
        <f>F412+G412</f>
        <v>0</v>
      </c>
      <c r="I412" s="667">
        <v>200000</v>
      </c>
      <c r="J412" s="667">
        <v>23400</v>
      </c>
      <c r="K412" s="667">
        <v>300000</v>
      </c>
      <c r="P412" s="608">
        <v>23400</v>
      </c>
      <c r="Q412" s="608">
        <v>23400</v>
      </c>
      <c r="R412" s="1225">
        <v>0</v>
      </c>
      <c r="S412" s="1225">
        <v>0</v>
      </c>
      <c r="W412" s="667"/>
      <c r="X412" s="961"/>
      <c r="Y412" s="81">
        <v>300000</v>
      </c>
      <c r="Z412" s="81"/>
      <c r="AA412" s="81"/>
      <c r="AB412" s="81"/>
      <c r="AC412" s="1212">
        <f t="shared" ref="AC412:AC417" si="164">K412-I412</f>
        <v>100000</v>
      </c>
      <c r="AG412" s="81"/>
    </row>
    <row r="413" spans="3:36" ht="15.6" customHeight="1" x14ac:dyDescent="0.25">
      <c r="C413" s="1210">
        <v>993000.78</v>
      </c>
      <c r="D413" s="689" t="s">
        <v>906</v>
      </c>
      <c r="E413" s="667">
        <v>1200000</v>
      </c>
      <c r="F413" s="667">
        <v>1679164</v>
      </c>
      <c r="G413" s="667">
        <v>0</v>
      </c>
      <c r="H413" s="667">
        <f>F413+G413</f>
        <v>1679164</v>
      </c>
      <c r="I413" s="667">
        <v>800000</v>
      </c>
      <c r="J413" s="667">
        <f>376361+289230</f>
        <v>665591</v>
      </c>
      <c r="K413" s="667">
        <v>800000</v>
      </c>
      <c r="P413" s="608">
        <f>815850+289230</f>
        <v>1105080</v>
      </c>
      <c r="Q413" s="608">
        <f>1485381+289230</f>
        <v>1774611</v>
      </c>
      <c r="R413" s="667">
        <v>0</v>
      </c>
      <c r="S413" s="667">
        <v>0</v>
      </c>
      <c r="W413" s="667">
        <v>50000</v>
      </c>
      <c r="X413" s="961"/>
      <c r="Y413" s="81">
        <v>800000</v>
      </c>
      <c r="Z413" s="1212"/>
      <c r="AA413" s="1213"/>
      <c r="AB413" s="1213"/>
      <c r="AC413" s="1212">
        <f t="shared" si="164"/>
        <v>0</v>
      </c>
      <c r="AG413" s="1213"/>
    </row>
    <row r="414" spans="3:36" ht="15.6" customHeight="1" x14ac:dyDescent="0.25">
      <c r="C414" s="1210">
        <v>994000.97</v>
      </c>
      <c r="D414" s="689" t="s">
        <v>907</v>
      </c>
      <c r="E414" s="667">
        <v>9000</v>
      </c>
      <c r="F414" s="667">
        <v>3000</v>
      </c>
      <c r="G414" s="667">
        <f>F414/11</f>
        <v>272.72727272727275</v>
      </c>
      <c r="H414" s="667">
        <f>F414+G414</f>
        <v>3272.727272727273</v>
      </c>
      <c r="I414" s="667">
        <v>9000</v>
      </c>
      <c r="J414" s="667">
        <v>2500</v>
      </c>
      <c r="K414" s="667">
        <v>9000</v>
      </c>
      <c r="P414" s="608">
        <v>4000</v>
      </c>
      <c r="Q414" s="608">
        <v>6000</v>
      </c>
      <c r="R414" s="667">
        <v>9000</v>
      </c>
      <c r="S414" s="667">
        <v>9000</v>
      </c>
      <c r="W414" s="667">
        <v>9000</v>
      </c>
      <c r="X414" s="961"/>
      <c r="Y414" s="81">
        <v>9000</v>
      </c>
      <c r="Z414" s="81"/>
      <c r="AA414" s="81"/>
      <c r="AB414" s="81"/>
      <c r="AC414" s="1212">
        <f t="shared" si="164"/>
        <v>0</v>
      </c>
      <c r="AG414" s="81"/>
    </row>
    <row r="415" spans="3:36" ht="15.6" customHeight="1" x14ac:dyDescent="0.25">
      <c r="C415" s="1210">
        <v>995000.86</v>
      </c>
      <c r="D415" s="689" t="s">
        <v>908</v>
      </c>
      <c r="E415" s="667">
        <v>4270000</v>
      </c>
      <c r="F415" s="667">
        <v>3736606</v>
      </c>
      <c r="G415" s="667">
        <f>H415-F415</f>
        <v>533394</v>
      </c>
      <c r="H415" s="667">
        <f>E415</f>
        <v>4270000</v>
      </c>
      <c r="I415" s="667">
        <v>4270000</v>
      </c>
      <c r="J415" s="667">
        <v>1790769</v>
      </c>
      <c r="K415" s="667">
        <v>4570000</v>
      </c>
      <c r="P415" s="608">
        <v>3912445</v>
      </c>
      <c r="Q415" s="608">
        <v>5256427</v>
      </c>
      <c r="R415" s="667">
        <v>5284000</v>
      </c>
      <c r="S415" s="667">
        <v>5284000</v>
      </c>
      <c r="W415" s="667">
        <v>4270000</v>
      </c>
      <c r="X415" s="961"/>
      <c r="Y415" s="81">
        <v>4270000</v>
      </c>
      <c r="Z415" s="1212"/>
      <c r="AA415" s="81"/>
      <c r="AB415" s="1213"/>
      <c r="AC415" s="1212">
        <f t="shared" si="164"/>
        <v>300000</v>
      </c>
      <c r="AG415" s="81"/>
      <c r="AJ415" s="1214"/>
    </row>
    <row r="416" spans="3:36" ht="15.6" customHeight="1" x14ac:dyDescent="0.25">
      <c r="C416" s="1215">
        <v>996000.11</v>
      </c>
      <c r="D416" s="1216" t="s">
        <v>909</v>
      </c>
      <c r="E416" s="1217">
        <f>מוניצ!I157</f>
        <v>3570052</v>
      </c>
      <c r="F416" s="1217">
        <v>2901377</v>
      </c>
      <c r="G416" s="1217">
        <f>F416/10*2</f>
        <v>580275.4</v>
      </c>
      <c r="H416" s="1217">
        <f>F416+G416</f>
        <v>3481652.4</v>
      </c>
      <c r="I416" s="1217">
        <v>3962500</v>
      </c>
      <c r="J416" s="1217">
        <v>1518478</v>
      </c>
      <c r="K416" s="1217">
        <f>מוניצ!K157</f>
        <v>3860065</v>
      </c>
      <c r="P416" s="1217">
        <f>שכר!AG487</f>
        <v>2211045.7299999995</v>
      </c>
      <c r="Q416" s="1217">
        <f>3299411+2463</f>
        <v>3301874</v>
      </c>
      <c r="R416" s="1217">
        <f>שכר!AM487</f>
        <v>3511129.9926</v>
      </c>
      <c r="S416" s="1217">
        <f t="shared" ref="S416" si="165">R416*1.02</f>
        <v>3581352.5924519999</v>
      </c>
      <c r="W416" s="1217">
        <f>מוניצ!AH157</f>
        <v>0</v>
      </c>
      <c r="X416" s="961"/>
      <c r="Y416" s="81"/>
      <c r="Z416" s="1212"/>
      <c r="AA416" s="81"/>
      <c r="AB416" s="1213"/>
      <c r="AC416" s="1212">
        <f t="shared" si="164"/>
        <v>-102435</v>
      </c>
      <c r="AD416" s="81" t="str">
        <f t="shared" si="138"/>
        <v>9960</v>
      </c>
      <c r="AG416" s="81"/>
    </row>
    <row r="417" spans="3:33" ht="15.6" customHeight="1" x14ac:dyDescent="0.25">
      <c r="C417" s="1215">
        <v>996000.22</v>
      </c>
      <c r="D417" s="1216" t="s">
        <v>1774</v>
      </c>
      <c r="E417" s="1217">
        <f>מוניצ!I170</f>
        <v>0</v>
      </c>
      <c r="F417" s="1217">
        <v>0</v>
      </c>
      <c r="G417" s="1217">
        <f>F417/11</f>
        <v>0</v>
      </c>
      <c r="H417" s="1217">
        <f>F417+G417</f>
        <v>0</v>
      </c>
      <c r="I417" s="1217">
        <v>1655753</v>
      </c>
      <c r="J417" s="1217"/>
      <c r="K417" s="1217">
        <f>מוניצ!K170</f>
        <v>961694</v>
      </c>
      <c r="P417" s="1217">
        <v>0</v>
      </c>
      <c r="Q417" s="1217">
        <v>0</v>
      </c>
      <c r="R417" s="1217">
        <f>פיצויים!C21*1000</f>
        <v>500000</v>
      </c>
      <c r="S417" s="1217">
        <v>0</v>
      </c>
      <c r="W417" s="1217">
        <f>מוניצ!AG170</f>
        <v>0</v>
      </c>
      <c r="X417" s="961"/>
      <c r="Y417" s="81"/>
      <c r="Z417" s="81"/>
      <c r="AA417" s="81"/>
      <c r="AB417" s="81"/>
      <c r="AC417" s="1212">
        <f t="shared" si="164"/>
        <v>-694059</v>
      </c>
      <c r="AD417" s="81" t="str">
        <f t="shared" si="138"/>
        <v>9960</v>
      </c>
      <c r="AG417" s="81"/>
    </row>
    <row r="418" spans="3:33" ht="15.6" customHeight="1" x14ac:dyDescent="0.25">
      <c r="C418" s="1210">
        <v>999000.4</v>
      </c>
      <c r="D418" s="689" t="s">
        <v>910</v>
      </c>
      <c r="E418" s="667">
        <v>0</v>
      </c>
      <c r="F418" s="667">
        <v>4598000</v>
      </c>
      <c r="G418" s="667">
        <v>0</v>
      </c>
      <c r="H418" s="667">
        <f>F418+G418</f>
        <v>4598000</v>
      </c>
      <c r="I418" s="667">
        <v>0</v>
      </c>
      <c r="J418" s="667">
        <v>0</v>
      </c>
      <c r="K418" s="667">
        <v>0</v>
      </c>
      <c r="P418" s="608">
        <v>0</v>
      </c>
      <c r="Q418" s="608">
        <f>P418/9*12</f>
        <v>0</v>
      </c>
      <c r="R418" s="1225">
        <v>0</v>
      </c>
      <c r="S418" s="1225">
        <v>0</v>
      </c>
      <c r="W418" s="667">
        <v>0</v>
      </c>
      <c r="X418" s="961"/>
      <c r="Y418" s="81"/>
      <c r="Z418" s="81"/>
      <c r="AA418" s="81"/>
      <c r="AB418" s="81"/>
      <c r="AC418" s="1212">
        <f t="shared" si="135"/>
        <v>0</v>
      </c>
      <c r="AG418" s="81"/>
    </row>
    <row r="419" spans="3:33" ht="15.6" customHeight="1" x14ac:dyDescent="0.25">
      <c r="C419" s="1210">
        <v>999000.91</v>
      </c>
      <c r="D419" s="689" t="s">
        <v>911</v>
      </c>
      <c r="E419" s="667">
        <f>'הכנסות '!D20</f>
        <v>1694400</v>
      </c>
      <c r="F419" s="667">
        <v>0</v>
      </c>
      <c r="G419" s="667">
        <v>1694000</v>
      </c>
      <c r="H419" s="667">
        <f>F419+G419</f>
        <v>1694000</v>
      </c>
      <c r="I419" s="667">
        <f>10788000*0.15</f>
        <v>1618200</v>
      </c>
      <c r="J419" s="667">
        <v>0</v>
      </c>
      <c r="K419" s="667">
        <v>1618200</v>
      </c>
      <c r="P419" s="608">
        <v>0</v>
      </c>
      <c r="Q419" s="608">
        <f>P419/9*12</f>
        <v>0</v>
      </c>
      <c r="R419" s="1225">
        <v>1861000</v>
      </c>
      <c r="S419" s="1225">
        <v>1861000</v>
      </c>
      <c r="W419" s="667">
        <f>10788000*0.15</f>
        <v>1618200</v>
      </c>
      <c r="X419" s="961"/>
      <c r="Y419" s="81"/>
      <c r="Z419" s="81"/>
      <c r="AA419" s="81"/>
      <c r="AB419" s="81"/>
      <c r="AC419" s="1212">
        <f t="shared" si="135"/>
        <v>0</v>
      </c>
      <c r="AG419" s="81"/>
    </row>
    <row r="420" spans="3:33" s="1226" customFormat="1" ht="18" customHeight="1" x14ac:dyDescent="0.25">
      <c r="C420" s="1238" t="s">
        <v>912</v>
      </c>
      <c r="D420" s="1239" t="s">
        <v>913</v>
      </c>
      <c r="E420" s="695">
        <f>SUM(E413:E419)</f>
        <v>10743452</v>
      </c>
      <c r="F420" s="695">
        <f>SUM(F413:F419)</f>
        <v>12918147</v>
      </c>
      <c r="G420" s="695">
        <f>SUM(G413:G419)</f>
        <v>2807942.1272727274</v>
      </c>
      <c r="H420" s="695">
        <f>SUM(H413:H419)</f>
        <v>15726089.127272727</v>
      </c>
      <c r="I420" s="695">
        <f t="shared" ref="I420:S420" si="166">SUM(I412:I419)</f>
        <v>12515453</v>
      </c>
      <c r="J420" s="695">
        <f t="shared" si="166"/>
        <v>4000738</v>
      </c>
      <c r="K420" s="695">
        <f t="shared" si="166"/>
        <v>12118959</v>
      </c>
      <c r="L420" s="695">
        <f t="shared" si="166"/>
        <v>0</v>
      </c>
      <c r="M420" s="695">
        <f t="shared" si="166"/>
        <v>0</v>
      </c>
      <c r="N420" s="695">
        <f t="shared" si="166"/>
        <v>0</v>
      </c>
      <c r="O420" s="695">
        <f t="shared" si="166"/>
        <v>0</v>
      </c>
      <c r="P420" s="695">
        <f t="shared" si="166"/>
        <v>7255970.7299999995</v>
      </c>
      <c r="Q420" s="695">
        <f t="shared" si="166"/>
        <v>10362312</v>
      </c>
      <c r="R420" s="695">
        <f t="shared" si="166"/>
        <v>11165129.9926</v>
      </c>
      <c r="S420" s="695">
        <f t="shared" si="166"/>
        <v>10735352.592452001</v>
      </c>
      <c r="T420" s="695">
        <f t="shared" ref="T420:AC420" si="167">SUM(T412:T419)</f>
        <v>0</v>
      </c>
      <c r="U420" s="695">
        <f t="shared" si="167"/>
        <v>0</v>
      </c>
      <c r="V420" s="695">
        <f t="shared" si="167"/>
        <v>0</v>
      </c>
      <c r="W420" s="695">
        <f t="shared" si="167"/>
        <v>5947200</v>
      </c>
      <c r="X420" s="695">
        <f t="shared" si="167"/>
        <v>0</v>
      </c>
      <c r="Y420" s="695">
        <f t="shared" si="167"/>
        <v>5379000</v>
      </c>
      <c r="Z420" s="695">
        <f t="shared" si="167"/>
        <v>0</v>
      </c>
      <c r="AA420" s="695">
        <f t="shared" si="167"/>
        <v>0</v>
      </c>
      <c r="AB420" s="695">
        <f t="shared" si="167"/>
        <v>0</v>
      </c>
      <c r="AC420" s="695">
        <f t="shared" si="167"/>
        <v>-396494</v>
      </c>
      <c r="AD420" s="81" t="str">
        <f t="shared" si="138"/>
        <v>סה"כ</v>
      </c>
      <c r="AG420" s="1213"/>
    </row>
    <row r="421" spans="3:33" ht="9.75" customHeight="1" x14ac:dyDescent="0.25">
      <c r="C421" s="1231"/>
      <c r="D421" s="1262"/>
      <c r="E421" s="667"/>
      <c r="F421" s="1263"/>
      <c r="G421" s="667"/>
      <c r="H421" s="667"/>
      <c r="I421" s="667"/>
      <c r="J421" s="667"/>
      <c r="K421" s="667"/>
      <c r="P421" s="1212"/>
      <c r="Q421" s="1212"/>
      <c r="R421" s="81"/>
      <c r="S421" s="81"/>
      <c r="W421" s="667"/>
      <c r="X421" s="961"/>
      <c r="Y421" s="81"/>
      <c r="Z421" s="1212"/>
      <c r="AA421" s="81"/>
      <c r="AB421" s="1213"/>
      <c r="AC421" s="1212">
        <f t="shared" si="135"/>
        <v>0</v>
      </c>
      <c r="AD421" s="81" t="str">
        <f t="shared" si="138"/>
        <v/>
      </c>
      <c r="AG421" s="81"/>
    </row>
    <row r="422" spans="3:33" s="1230" customFormat="1" ht="21.75" customHeight="1" x14ac:dyDescent="0.25">
      <c r="C422" s="1241" t="s">
        <v>914</v>
      </c>
      <c r="D422" s="1242" t="s">
        <v>140</v>
      </c>
      <c r="E422" s="1243">
        <f t="shared" ref="E422:Q422" si="168">E394+E399+E410+E420+E402</f>
        <v>25853462</v>
      </c>
      <c r="F422" s="1243">
        <f t="shared" si="168"/>
        <v>25859114</v>
      </c>
      <c r="G422" s="1243">
        <f t="shared" si="168"/>
        <v>4914004</v>
      </c>
      <c r="H422" s="1243">
        <f t="shared" si="168"/>
        <v>30773118</v>
      </c>
      <c r="I422" s="1243">
        <f t="shared" si="168"/>
        <v>15438390.75</v>
      </c>
      <c r="J422" s="1243">
        <f t="shared" si="168"/>
        <v>8803009</v>
      </c>
      <c r="K422" s="1243">
        <f t="shared" si="168"/>
        <v>27241134</v>
      </c>
      <c r="L422" s="1243">
        <f t="shared" si="168"/>
        <v>0</v>
      </c>
      <c r="M422" s="1243">
        <f t="shared" si="168"/>
        <v>0</v>
      </c>
      <c r="N422" s="1243">
        <f t="shared" si="168"/>
        <v>0</v>
      </c>
      <c r="O422" s="1243">
        <f t="shared" si="168"/>
        <v>0</v>
      </c>
      <c r="P422" s="1243">
        <f t="shared" si="168"/>
        <v>14740760.07</v>
      </c>
      <c r="Q422" s="1243">
        <f t="shared" si="168"/>
        <v>20050755</v>
      </c>
      <c r="R422" s="1243">
        <f>R394+R399+R410+R420+R402</f>
        <v>20335314.430799998</v>
      </c>
      <c r="S422" s="1243">
        <f>S394+S399+S410+S420+S402</f>
        <v>10848638.592452001</v>
      </c>
      <c r="T422" s="1243">
        <f t="shared" ref="T422:AC422" si="169">T394+T399+T410+T420</f>
        <v>0</v>
      </c>
      <c r="U422" s="1243">
        <f t="shared" si="169"/>
        <v>0</v>
      </c>
      <c r="V422" s="1243">
        <f t="shared" si="169"/>
        <v>0</v>
      </c>
      <c r="W422" s="1243">
        <f t="shared" si="169"/>
        <v>5979725</v>
      </c>
      <c r="X422" s="1243">
        <f t="shared" si="169"/>
        <v>24000</v>
      </c>
      <c r="Y422" s="1243">
        <f t="shared" si="169"/>
        <v>16717168</v>
      </c>
      <c r="Z422" s="1243">
        <f t="shared" si="169"/>
        <v>0</v>
      </c>
      <c r="AA422" s="1243">
        <f t="shared" si="169"/>
        <v>0</v>
      </c>
      <c r="AB422" s="1243">
        <f t="shared" si="169"/>
        <v>0</v>
      </c>
      <c r="AC422" s="1243">
        <f t="shared" si="169"/>
        <v>11502743.25</v>
      </c>
      <c r="AD422" s="81" t="str">
        <f t="shared" si="138"/>
        <v>סה"כ</v>
      </c>
      <c r="AG422" s="81"/>
    </row>
    <row r="423" spans="3:33" ht="5.25" customHeight="1" x14ac:dyDescent="0.25">
      <c r="C423" s="1210"/>
      <c r="D423" s="689"/>
      <c r="E423" s="667"/>
      <c r="F423" s="1263"/>
      <c r="G423" s="667">
        <f>F423/9*3</f>
        <v>0</v>
      </c>
      <c r="H423" s="667">
        <f>F423+G423</f>
        <v>0</v>
      </c>
      <c r="I423" s="667"/>
      <c r="J423" s="667"/>
      <c r="K423" s="667"/>
      <c r="P423" s="1212"/>
      <c r="Q423" s="1212"/>
      <c r="R423" s="81"/>
      <c r="S423" s="81"/>
      <c r="W423" s="667"/>
      <c r="X423" s="961"/>
      <c r="Y423" s="81"/>
      <c r="Z423" s="1212"/>
      <c r="AA423" s="81"/>
      <c r="AB423" s="1213"/>
      <c r="AC423" s="1212">
        <f t="shared" ref="AC423" si="170">K423-I423</f>
        <v>0</v>
      </c>
      <c r="AD423" s="81" t="str">
        <f t="shared" si="138"/>
        <v/>
      </c>
      <c r="AG423" s="81"/>
    </row>
    <row r="424" spans="3:33" s="1207" customFormat="1" ht="21" customHeight="1" x14ac:dyDescent="0.25">
      <c r="C424" s="664"/>
      <c r="D424" s="1294" t="s">
        <v>432</v>
      </c>
      <c r="E424" s="712">
        <f t="shared" ref="E424:AC424" ca="1" si="171">E63+E123+E382+E422</f>
        <v>84715467.689999998</v>
      </c>
      <c r="F424" s="712">
        <f t="shared" ca="1" si="171"/>
        <v>78087216</v>
      </c>
      <c r="G424" s="712">
        <f t="shared" ca="1" si="171"/>
        <v>13490855.581818182</v>
      </c>
      <c r="H424" s="712">
        <f t="shared" ca="1" si="171"/>
        <v>91518508.600000009</v>
      </c>
      <c r="I424" s="712">
        <f t="shared" ca="1" si="171"/>
        <v>69673660.076399997</v>
      </c>
      <c r="J424" s="712">
        <f t="shared" ca="1" si="171"/>
        <v>34686522</v>
      </c>
      <c r="K424" s="712">
        <f t="shared" ca="1" si="171"/>
        <v>82956624.416666672</v>
      </c>
      <c r="L424" s="712">
        <f t="shared" ca="1" si="171"/>
        <v>0</v>
      </c>
      <c r="M424" s="712">
        <f t="shared" ca="1" si="171"/>
        <v>0</v>
      </c>
      <c r="N424" s="712">
        <f t="shared" ca="1" si="171"/>
        <v>0</v>
      </c>
      <c r="O424" s="712">
        <f t="shared" ca="1" si="171"/>
        <v>0</v>
      </c>
      <c r="P424" s="712">
        <f t="shared" ca="1" si="171"/>
        <v>55257022.93</v>
      </c>
      <c r="Q424" s="712">
        <f t="shared" ca="1" si="171"/>
        <v>75809570.700000003</v>
      </c>
      <c r="R424" s="712">
        <f t="shared" ca="1" si="171"/>
        <v>75646058.202514291</v>
      </c>
      <c r="S424" s="712">
        <f t="shared" ca="1" si="171"/>
        <v>65284696.322727427</v>
      </c>
      <c r="T424" s="712" t="e">
        <f t="shared" si="171"/>
        <v>#REF!</v>
      </c>
      <c r="U424" s="712" t="e">
        <f t="shared" si="171"/>
        <v>#REF!</v>
      </c>
      <c r="V424" s="712" t="e">
        <f t="shared" si="171"/>
        <v>#REF!</v>
      </c>
      <c r="W424" s="712" t="e">
        <f t="shared" si="171"/>
        <v>#REF!</v>
      </c>
      <c r="X424" s="712" t="e">
        <f t="shared" si="171"/>
        <v>#REF!</v>
      </c>
      <c r="Y424" s="712" t="e">
        <f t="shared" si="171"/>
        <v>#REF!</v>
      </c>
      <c r="Z424" s="712" t="e">
        <f t="shared" si="171"/>
        <v>#REF!</v>
      </c>
      <c r="AA424" s="712" t="e">
        <f t="shared" si="171"/>
        <v>#REF!</v>
      </c>
      <c r="AB424" s="712" t="e">
        <f t="shared" si="171"/>
        <v>#REF!</v>
      </c>
      <c r="AC424" s="712" t="e">
        <f t="shared" si="171"/>
        <v>#REF!</v>
      </c>
      <c r="AD424" s="81" t="str">
        <f t="shared" si="138"/>
        <v/>
      </c>
      <c r="AG424" s="1213"/>
    </row>
    <row r="425" spans="3:33" ht="15.6" customHeight="1" x14ac:dyDescent="0.25">
      <c r="C425" s="1210"/>
      <c r="D425" s="689"/>
      <c r="E425" s="667"/>
      <c r="F425" s="1263"/>
      <c r="G425" s="1263"/>
      <c r="H425" s="1263"/>
      <c r="I425" s="667"/>
      <c r="J425" s="667"/>
      <c r="K425" s="667"/>
      <c r="P425" s="1212"/>
      <c r="Q425" s="1212"/>
      <c r="R425" s="1213"/>
      <c r="S425" s="1213"/>
      <c r="W425" s="667"/>
      <c r="X425" s="961"/>
      <c r="Y425" s="81"/>
      <c r="Z425" s="1212"/>
      <c r="AA425" s="1213"/>
      <c r="AB425" s="1213"/>
      <c r="AC425" s="81"/>
      <c r="AD425" s="81" t="str">
        <f t="shared" si="138"/>
        <v/>
      </c>
      <c r="AG425" s="1213"/>
    </row>
    <row r="426" spans="3:33" ht="15.6" customHeight="1" x14ac:dyDescent="0.25">
      <c r="D426" s="1296"/>
      <c r="E426" s="1297">
        <f>'טבלה מעודכנת '!B49</f>
        <v>65362</v>
      </c>
      <c r="F426" s="1297">
        <f ca="1">'טבלה מעודכנת '!C49</f>
        <v>78087.216</v>
      </c>
      <c r="G426" s="1297">
        <f ca="1">'טבלה מעודכנת '!D49</f>
        <v>13490.855581818183</v>
      </c>
      <c r="H426" s="1297">
        <f>'טבלה מעודכנת '!E49</f>
        <v>90949</v>
      </c>
      <c r="I426" s="1297">
        <f>'טבלה מעודכנת '!F49</f>
        <v>65362</v>
      </c>
      <c r="J426" s="1297"/>
      <c r="K426" s="1297" t="e">
        <f>'טבלה מעודכנת '!I49</f>
        <v>#VALUE!</v>
      </c>
      <c r="P426" s="1212"/>
      <c r="Q426" s="1212"/>
      <c r="R426" s="1213"/>
      <c r="S426" s="1213"/>
      <c r="W426" s="1297">
        <f>'טבלה מעודכנת '!U49</f>
        <v>0</v>
      </c>
      <c r="X426" s="1297"/>
      <c r="Y426" s="81"/>
      <c r="Z426" s="1212"/>
      <c r="AA426" s="1213"/>
      <c r="AB426" s="81"/>
      <c r="AC426" s="81"/>
      <c r="AD426" s="81" t="str">
        <f t="shared" si="138"/>
        <v/>
      </c>
      <c r="AG426" s="1213"/>
    </row>
    <row r="427" spans="3:33" x14ac:dyDescent="0.25">
      <c r="D427" s="1296"/>
      <c r="E427" s="1298">
        <f ca="1">E424/1000-E426</f>
        <v>19353.46768999999</v>
      </c>
      <c r="F427" s="1298">
        <f ca="1">F424/1000-F426</f>
        <v>0</v>
      </c>
      <c r="G427" s="1298">
        <f ca="1">G424/1000-G426</f>
        <v>0</v>
      </c>
      <c r="H427" s="1298">
        <f ca="1">H424/1000-H426</f>
        <v>569.50860000001558</v>
      </c>
      <c r="I427" s="1298">
        <f ca="1">I424/1000-I426</f>
        <v>4311.6600764000032</v>
      </c>
      <c r="J427" s="1298"/>
      <c r="K427" s="1298" t="e">
        <f ca="1">K424/1000-K426</f>
        <v>#VALUE!</v>
      </c>
      <c r="L427" s="1221">
        <f ca="1">L424/1000-L426</f>
        <v>0</v>
      </c>
      <c r="M427" s="1221">
        <f ca="1">M424/1000-M426</f>
        <v>0</v>
      </c>
      <c r="N427" s="1221">
        <f ca="1">N424/1000-N426</f>
        <v>0</v>
      </c>
      <c r="O427" s="1221">
        <f ca="1">O424/1000-O426</f>
        <v>0</v>
      </c>
      <c r="P427" s="1212"/>
      <c r="Q427" s="1212"/>
      <c r="R427" s="1213"/>
      <c r="S427" s="81"/>
      <c r="T427" s="1221" t="e">
        <f t="shared" ref="T427:V427" si="172">T424/1000-T426</f>
        <v>#REF!</v>
      </c>
      <c r="U427" s="1221" t="e">
        <f t="shared" si="172"/>
        <v>#REF!</v>
      </c>
      <c r="V427" s="1221" t="e">
        <f t="shared" si="172"/>
        <v>#REF!</v>
      </c>
      <c r="W427" s="1298" t="e">
        <f t="shared" ref="W427" si="173">W424/1000-W426</f>
        <v>#REF!</v>
      </c>
      <c r="X427" s="1298"/>
      <c r="Y427" s="81"/>
      <c r="Z427" s="1212"/>
      <c r="AA427" s="1213"/>
      <c r="AB427" s="1213"/>
      <c r="AC427" s="81"/>
      <c r="AD427" s="81" t="str">
        <f t="shared" ref="AD427:AD430" si="174">LEFT(C427,4)</f>
        <v/>
      </c>
      <c r="AG427" s="1213"/>
    </row>
    <row r="428" spans="3:33" x14ac:dyDescent="0.25">
      <c r="D428" s="1296"/>
      <c r="E428" s="1297"/>
      <c r="F428" s="1297"/>
      <c r="G428" s="1297"/>
      <c r="H428" s="1297"/>
      <c r="I428" s="1297"/>
      <c r="J428" s="1297"/>
      <c r="K428" s="1297"/>
      <c r="L428" s="961">
        <f ca="1">'טבלה מעודכנת '!J49</f>
        <v>0</v>
      </c>
      <c r="M428" s="961">
        <f ca="1">'טבלה מעודכנת '!K49</f>
        <v>0</v>
      </c>
      <c r="N428" s="961">
        <f ca="1">'טבלה מעודכנת '!L49</f>
        <v>0</v>
      </c>
      <c r="O428" s="961">
        <f ca="1">'טבלה מעודכנת '!M49</f>
        <v>55257.022929999992</v>
      </c>
      <c r="P428" s="1212"/>
      <c r="Q428" s="1212"/>
      <c r="R428" s="1213"/>
      <c r="S428" s="81"/>
      <c r="T428" s="961">
        <f>'טבלה מעודכנת '!R49</f>
        <v>0</v>
      </c>
      <c r="U428" s="961">
        <f>'טבלה מעודכנת '!S49</f>
        <v>0</v>
      </c>
      <c r="V428" s="961">
        <f>'טבלה מעודכנת '!T49</f>
        <v>0</v>
      </c>
      <c r="W428" s="1297"/>
      <c r="X428" s="1297"/>
      <c r="Y428" s="81"/>
      <c r="Z428" s="1212"/>
      <c r="AA428" s="1213"/>
      <c r="AB428" s="1213"/>
      <c r="AC428" s="81"/>
      <c r="AD428" s="81" t="str">
        <f t="shared" si="174"/>
        <v/>
      </c>
      <c r="AG428" s="1213"/>
    </row>
    <row r="429" spans="3:33" x14ac:dyDescent="0.25">
      <c r="D429" s="1296"/>
      <c r="E429" s="1298"/>
      <c r="F429" s="1299"/>
      <c r="G429" s="1300"/>
      <c r="H429" s="1299"/>
      <c r="I429" s="1298"/>
      <c r="J429" s="1298"/>
      <c r="K429" s="1298"/>
      <c r="P429" s="1212"/>
      <c r="Q429" s="1212"/>
      <c r="R429" s="1213"/>
      <c r="S429" s="81"/>
      <c r="W429" s="1298"/>
      <c r="X429" s="1298"/>
      <c r="Y429" s="81"/>
      <c r="Z429" s="1212"/>
      <c r="AA429" s="1213"/>
      <c r="AB429" s="81"/>
      <c r="AC429" s="81"/>
      <c r="AD429" s="81" t="str">
        <f t="shared" si="174"/>
        <v/>
      </c>
      <c r="AG429" s="1213"/>
    </row>
    <row r="430" spans="3:33" x14ac:dyDescent="0.25">
      <c r="K430" s="961"/>
      <c r="P430" s="1212"/>
      <c r="Q430" s="1212"/>
      <c r="R430" s="1213"/>
      <c r="S430" s="81"/>
      <c r="W430" s="961"/>
      <c r="X430" s="961"/>
      <c r="Y430" s="81"/>
      <c r="Z430" s="1212"/>
      <c r="AA430" s="1213"/>
      <c r="AB430" s="1213"/>
      <c r="AC430" s="81"/>
      <c r="AD430" s="81" t="str">
        <f t="shared" si="174"/>
        <v/>
      </c>
      <c r="AG430" s="1213"/>
    </row>
    <row r="431" spans="3:33" x14ac:dyDescent="0.25">
      <c r="P431" s="1212"/>
      <c r="Q431" s="1212"/>
      <c r="R431" s="1213"/>
      <c r="S431" s="81"/>
      <c r="Y431" s="81"/>
      <c r="Z431" s="1212"/>
      <c r="AA431" s="1213"/>
      <c r="AB431" s="1213"/>
      <c r="AC431" s="81"/>
      <c r="AG431" s="1213"/>
    </row>
    <row r="432" spans="3:33" x14ac:dyDescent="0.25">
      <c r="P432" s="1212"/>
      <c r="Q432" s="1212"/>
      <c r="R432" s="1213"/>
      <c r="S432" s="81"/>
      <c r="Y432" s="81"/>
      <c r="Z432" s="1212"/>
      <c r="AA432" s="1213"/>
      <c r="AB432" s="1213"/>
      <c r="AC432" s="81"/>
      <c r="AG432" s="1213"/>
    </row>
    <row r="433" spans="16:33" x14ac:dyDescent="0.25">
      <c r="P433" s="1212"/>
      <c r="Q433" s="1212"/>
      <c r="R433" s="1213"/>
      <c r="S433" s="81"/>
      <c r="Y433" s="81"/>
      <c r="Z433" s="1212"/>
      <c r="AA433" s="1213"/>
      <c r="AB433" s="1213"/>
      <c r="AC433" s="81"/>
      <c r="AG433" s="1213"/>
    </row>
    <row r="434" spans="16:33" x14ac:dyDescent="0.25">
      <c r="P434" s="1212"/>
      <c r="Q434" s="1212"/>
      <c r="R434" s="1213"/>
      <c r="S434" s="81"/>
      <c r="Y434" s="81"/>
      <c r="Z434" s="1212"/>
      <c r="AA434" s="1213"/>
      <c r="AB434" s="1213"/>
      <c r="AC434" s="81"/>
      <c r="AG434" s="1213"/>
    </row>
    <row r="435" spans="16:33" x14ac:dyDescent="0.25">
      <c r="P435" s="81"/>
      <c r="Q435" s="81"/>
      <c r="R435" s="81"/>
      <c r="S435" s="81"/>
      <c r="Y435" s="81"/>
      <c r="Z435" s="81"/>
      <c r="AA435" s="81"/>
      <c r="AB435" s="81"/>
      <c r="AC435" s="81"/>
      <c r="AG435" s="81"/>
    </row>
    <row r="436" spans="16:33" x14ac:dyDescent="0.25">
      <c r="P436" s="81"/>
      <c r="Q436" s="81"/>
      <c r="R436" s="81"/>
      <c r="S436" s="81"/>
      <c r="Y436" s="81"/>
      <c r="Z436" s="81"/>
      <c r="AA436" s="81"/>
      <c r="AB436" s="81"/>
      <c r="AC436" s="81"/>
      <c r="AG436" s="81"/>
    </row>
    <row r="437" spans="16:33" x14ac:dyDescent="0.25">
      <c r="P437" s="1212"/>
      <c r="Q437" s="1212"/>
      <c r="R437" s="1213"/>
      <c r="S437" s="81"/>
      <c r="Y437" s="81"/>
      <c r="Z437" s="1212"/>
      <c r="AA437" s="1213"/>
      <c r="AB437" s="1213"/>
      <c r="AC437" s="81"/>
      <c r="AG437" s="1213"/>
    </row>
    <row r="438" spans="16:33" x14ac:dyDescent="0.25">
      <c r="P438" s="1212"/>
      <c r="Q438" s="1212"/>
      <c r="R438" s="1213"/>
      <c r="S438" s="81"/>
      <c r="Y438" s="81"/>
      <c r="Z438" s="1212"/>
      <c r="AA438" s="1213"/>
      <c r="AB438" s="1213"/>
      <c r="AC438" s="81"/>
      <c r="AG438" s="1213"/>
    </row>
    <row r="439" spans="16:33" x14ac:dyDescent="0.25">
      <c r="P439" s="1212"/>
      <c r="Q439" s="1212"/>
      <c r="R439" s="1213"/>
      <c r="S439" s="81"/>
      <c r="Y439" s="81"/>
      <c r="Z439" s="1212"/>
      <c r="AA439" s="1213"/>
      <c r="AB439" s="1213"/>
      <c r="AC439" s="81"/>
      <c r="AG439" s="1213"/>
    </row>
    <row r="440" spans="16:33" x14ac:dyDescent="0.25">
      <c r="P440" s="81"/>
      <c r="Q440" s="81"/>
      <c r="R440" s="81"/>
      <c r="S440" s="81"/>
      <c r="Y440" s="81"/>
      <c r="Z440" s="81"/>
      <c r="AA440" s="81"/>
      <c r="AB440" s="81"/>
      <c r="AC440" s="81"/>
      <c r="AG440" s="81"/>
    </row>
    <row r="441" spans="16:33" x14ac:dyDescent="0.25">
      <c r="P441" s="1212"/>
      <c r="Q441" s="1212"/>
      <c r="R441" s="1213"/>
      <c r="S441" s="81"/>
      <c r="Y441" s="81"/>
      <c r="Z441" s="1212"/>
      <c r="AA441" s="1213"/>
      <c r="AB441" s="1213"/>
      <c r="AC441" s="81"/>
      <c r="AG441" s="1213"/>
    </row>
    <row r="442" spans="16:33" x14ac:dyDescent="0.25">
      <c r="P442" s="1212"/>
      <c r="Q442" s="1212"/>
      <c r="R442" s="81"/>
      <c r="S442" s="81"/>
      <c r="Y442" s="81"/>
      <c r="Z442" s="1212"/>
      <c r="AA442" s="81"/>
      <c r="AB442" s="1213"/>
      <c r="AC442" s="81"/>
      <c r="AG442" s="81"/>
    </row>
    <row r="443" spans="16:33" x14ac:dyDescent="0.25">
      <c r="P443" s="1212"/>
      <c r="Q443" s="1212"/>
      <c r="R443" s="1213"/>
      <c r="S443" s="1213"/>
      <c r="Y443" s="81"/>
      <c r="Z443" s="1212"/>
      <c r="AA443" s="1213"/>
      <c r="AB443" s="1213"/>
      <c r="AC443" s="81"/>
      <c r="AG443" s="1213"/>
    </row>
    <row r="444" spans="16:33" x14ac:dyDescent="0.25">
      <c r="P444" s="1212"/>
      <c r="Q444" s="1212"/>
      <c r="R444" s="1213"/>
      <c r="S444" s="81"/>
      <c r="Y444" s="81"/>
      <c r="Z444" s="1212"/>
      <c r="AA444" s="1213"/>
      <c r="AB444" s="1213"/>
      <c r="AC444" s="81"/>
      <c r="AG444" s="1213"/>
    </row>
    <row r="445" spans="16:33" x14ac:dyDescent="0.25">
      <c r="P445" s="1212"/>
      <c r="Q445" s="1212"/>
      <c r="R445" s="1213"/>
      <c r="S445" s="81"/>
      <c r="Y445" s="81"/>
      <c r="Z445" s="1212"/>
      <c r="AA445" s="1213"/>
      <c r="AB445" s="1213"/>
      <c r="AC445" s="81"/>
      <c r="AG445" s="1213"/>
    </row>
    <row r="446" spans="16:33" x14ac:dyDescent="0.25">
      <c r="P446" s="81"/>
      <c r="Q446" s="81"/>
      <c r="R446" s="1213"/>
      <c r="S446" s="81"/>
      <c r="Y446" s="81"/>
      <c r="Z446" s="81"/>
      <c r="AA446" s="1213"/>
      <c r="AB446" s="1213"/>
      <c r="AC446" s="81"/>
      <c r="AG446" s="1213"/>
    </row>
    <row r="447" spans="16:33" x14ac:dyDescent="0.25">
      <c r="P447" s="1212"/>
      <c r="Q447" s="1212"/>
      <c r="R447" s="1213"/>
      <c r="S447" s="81"/>
      <c r="Y447" s="81"/>
      <c r="Z447" s="1212"/>
      <c r="AA447" s="1213"/>
      <c r="AB447" s="1213"/>
      <c r="AC447" s="81"/>
      <c r="AG447" s="1213"/>
    </row>
    <row r="448" spans="16:33" x14ac:dyDescent="0.25">
      <c r="P448" s="1212"/>
      <c r="Q448" s="1212"/>
      <c r="R448" s="1213"/>
      <c r="S448" s="81"/>
      <c r="Y448" s="81"/>
      <c r="Z448" s="1212"/>
      <c r="AA448" s="1213"/>
      <c r="AB448" s="1213"/>
      <c r="AC448" s="81"/>
      <c r="AG448" s="1213"/>
    </row>
    <row r="449" spans="16:33" x14ac:dyDescent="0.25">
      <c r="P449" s="1212"/>
      <c r="Q449" s="1212"/>
      <c r="R449" s="81"/>
      <c r="S449" s="81"/>
      <c r="Y449" s="81"/>
      <c r="Z449" s="1212"/>
      <c r="AA449" s="81"/>
      <c r="AB449" s="1213"/>
      <c r="AC449" s="81"/>
      <c r="AG449" s="81"/>
    </row>
    <row r="450" spans="16:33" x14ac:dyDescent="0.25">
      <c r="P450" s="1212"/>
      <c r="Q450" s="1212"/>
      <c r="R450" s="81"/>
      <c r="S450" s="81"/>
      <c r="Y450" s="81"/>
      <c r="Z450" s="1212"/>
      <c r="AA450" s="81"/>
      <c r="AB450" s="1213"/>
      <c r="AC450" s="81"/>
      <c r="AG450" s="81"/>
    </row>
    <row r="451" spans="16:33" x14ac:dyDescent="0.25">
      <c r="P451" s="81"/>
      <c r="Q451" s="81"/>
      <c r="R451" s="1213"/>
      <c r="S451" s="81"/>
      <c r="Y451" s="81"/>
      <c r="Z451" s="81"/>
      <c r="AA451" s="1213"/>
      <c r="AB451" s="1213"/>
      <c r="AC451" s="81"/>
      <c r="AG451" s="1213"/>
    </row>
    <row r="452" spans="16:33" x14ac:dyDescent="0.25">
      <c r="P452" s="81"/>
      <c r="Q452" s="81"/>
      <c r="R452" s="81"/>
      <c r="S452" s="81"/>
      <c r="Y452" s="81"/>
      <c r="Z452" s="81"/>
      <c r="AA452" s="81"/>
      <c r="AB452" s="81"/>
      <c r="AC452" s="81"/>
      <c r="AG452" s="81"/>
    </row>
    <row r="453" spans="16:33" x14ac:dyDescent="0.25">
      <c r="P453" s="1212"/>
      <c r="Q453" s="1212"/>
      <c r="R453" s="81"/>
      <c r="S453" s="81"/>
      <c r="Y453" s="81"/>
      <c r="Z453" s="1212"/>
      <c r="AA453" s="81"/>
      <c r="AB453" s="1213"/>
      <c r="AC453" s="81"/>
      <c r="AG453" s="81"/>
    </row>
  </sheetData>
  <autoFilter ref="C1:S430"/>
  <pageMargins left="0.25" right="0.25" top="0.84201388888888884" bottom="0.75" header="0.3" footer="0.3"/>
  <pageSetup paperSize="9" scale="65" orientation="portrait" r:id="rId1"/>
  <headerFooter alignWithMargins="0">
    <oddHeader>&amp;C&amp;"David,מודגש"&amp;11&amp;Uמועצה מקומית עוספיההסברים לעדכון התקציב הרגיל 2016-2018 - הוצאות</oddHeader>
    <oddFooter>&amp;C&amp;"David,מודגש"&amp;11עמוד &amp;P</oddFooter>
  </headerFooter>
  <rowBreaks count="1" manualBreakCount="1">
    <brk id="5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showGridLines="0" rightToLeft="1" zoomScale="85" zoomScaleNormal="85" workbookViewId="0">
      <selection activeCell="B14" sqref="B14"/>
    </sheetView>
  </sheetViews>
  <sheetFormatPr defaultColWidth="9.140625" defaultRowHeight="15.75" x14ac:dyDescent="0.2"/>
  <cols>
    <col min="1" max="1" width="5.7109375" style="365" customWidth="1"/>
    <col min="2" max="2" width="9.85546875" style="355" customWidth="1"/>
    <col min="3" max="3" width="13.85546875" style="355" customWidth="1"/>
    <col min="4" max="4" width="9.28515625" style="355" bestFit="1" customWidth="1"/>
    <col min="5" max="5" width="9" style="355" bestFit="1" customWidth="1"/>
    <col min="6" max="6" width="12.42578125" style="355" bestFit="1" customWidth="1"/>
    <col min="7" max="7" width="13.42578125" style="355" bestFit="1" customWidth="1"/>
    <col min="8" max="8" width="8" style="355" customWidth="1"/>
    <col min="9" max="9" width="12.42578125" style="355" customWidth="1"/>
    <col min="10" max="12" width="9.140625" style="355"/>
    <col min="13" max="13" width="10.28515625" style="355" bestFit="1" customWidth="1"/>
    <col min="14" max="16384" width="9.140625" style="355"/>
  </cols>
  <sheetData>
    <row r="1" spans="1:9" ht="36" thickBot="1" x14ac:dyDescent="0.25">
      <c r="A1" s="1458" t="s">
        <v>0</v>
      </c>
      <c r="B1" s="1459"/>
      <c r="C1" s="1459"/>
      <c r="D1" s="1459"/>
      <c r="E1" s="1459"/>
      <c r="F1" s="1459"/>
      <c r="G1" s="1459"/>
      <c r="H1" s="1459"/>
      <c r="I1" s="1460"/>
    </row>
    <row r="2" spans="1:9" ht="27" thickBot="1" x14ac:dyDescent="0.25">
      <c r="A2" s="1461" t="s">
        <v>915</v>
      </c>
      <c r="B2" s="1462"/>
      <c r="C2" s="1462"/>
      <c r="D2" s="1462"/>
      <c r="E2" s="1462"/>
      <c r="F2" s="1462"/>
      <c r="G2" s="1462"/>
      <c r="H2" s="1462"/>
      <c r="I2" s="1463"/>
    </row>
    <row r="3" spans="1:9" s="368" customFormat="1" ht="18.75" x14ac:dyDescent="0.2">
      <c r="A3" s="531"/>
      <c r="B3" s="531" t="s">
        <v>916</v>
      </c>
      <c r="C3" s="531" t="s">
        <v>917</v>
      </c>
      <c r="D3" s="531" t="s">
        <v>918</v>
      </c>
      <c r="E3" s="531" t="s">
        <v>919</v>
      </c>
      <c r="F3" s="531" t="s">
        <v>920</v>
      </c>
      <c r="G3" s="531" t="s">
        <v>921</v>
      </c>
      <c r="H3" s="531" t="s">
        <v>922</v>
      </c>
      <c r="I3" s="531" t="s">
        <v>923</v>
      </c>
    </row>
    <row r="4" spans="1:9" ht="18.75" customHeight="1" x14ac:dyDescent="0.2">
      <c r="A4" s="351">
        <v>1</v>
      </c>
      <c r="B4" s="352" t="s">
        <v>924</v>
      </c>
      <c r="C4" s="352" t="s">
        <v>925</v>
      </c>
      <c r="D4" s="353">
        <v>5223585</v>
      </c>
      <c r="E4" s="353">
        <v>611100</v>
      </c>
      <c r="F4" s="352" t="s">
        <v>926</v>
      </c>
      <c r="G4" s="352" t="s">
        <v>927</v>
      </c>
      <c r="H4" s="354">
        <v>1</v>
      </c>
      <c r="I4" s="369">
        <v>749805</v>
      </c>
    </row>
    <row r="5" spans="1:9" ht="18.75" customHeight="1" x14ac:dyDescent="0.2">
      <c r="A5" s="351">
        <v>2</v>
      </c>
      <c r="B5" s="352" t="s">
        <v>928</v>
      </c>
      <c r="C5" s="352" t="s">
        <v>929</v>
      </c>
      <c r="D5" s="353">
        <v>2332857</v>
      </c>
      <c r="E5" s="353">
        <v>611200</v>
      </c>
      <c r="F5" s="352" t="s">
        <v>930</v>
      </c>
      <c r="G5" s="352" t="s">
        <v>931</v>
      </c>
      <c r="H5" s="354">
        <v>0.5</v>
      </c>
      <c r="I5" s="369">
        <v>88897</v>
      </c>
    </row>
    <row r="6" spans="1:9" ht="18.75" customHeight="1" x14ac:dyDescent="0.2">
      <c r="A6" s="351">
        <v>3</v>
      </c>
      <c r="B6" s="352" t="s">
        <v>932</v>
      </c>
      <c r="C6" s="352" t="s">
        <v>933</v>
      </c>
      <c r="D6" s="353">
        <v>9999999</v>
      </c>
      <c r="E6" s="353">
        <v>612000</v>
      </c>
      <c r="F6" s="352" t="s">
        <v>934</v>
      </c>
      <c r="G6" s="352" t="s">
        <v>935</v>
      </c>
      <c r="H6" s="354">
        <v>0.5</v>
      </c>
      <c r="I6" s="369">
        <v>140000</v>
      </c>
    </row>
    <row r="7" spans="1:9" ht="18.75" customHeight="1" x14ac:dyDescent="0.2">
      <c r="A7" s="351">
        <v>4</v>
      </c>
      <c r="B7" s="352" t="s">
        <v>936</v>
      </c>
      <c r="C7" s="352" t="s">
        <v>936</v>
      </c>
      <c r="D7" s="353">
        <v>9999999</v>
      </c>
      <c r="E7" s="353">
        <v>613000</v>
      </c>
      <c r="F7" s="352" t="s">
        <v>937</v>
      </c>
      <c r="G7" s="352" t="s">
        <v>938</v>
      </c>
      <c r="H7" s="354">
        <v>1</v>
      </c>
      <c r="I7" s="369">
        <v>280000</v>
      </c>
    </row>
    <row r="8" spans="1:9" ht="18.75" customHeight="1" x14ac:dyDescent="0.2">
      <c r="A8" s="351">
        <v>5</v>
      </c>
      <c r="B8" s="352" t="s">
        <v>939</v>
      </c>
      <c r="C8" s="352" t="s">
        <v>940</v>
      </c>
      <c r="D8" s="353">
        <v>30282664</v>
      </c>
      <c r="E8" s="353">
        <v>615000</v>
      </c>
      <c r="F8" s="352" t="s">
        <v>941</v>
      </c>
      <c r="G8" s="352" t="s">
        <v>931</v>
      </c>
      <c r="H8" s="354" t="s">
        <v>942</v>
      </c>
      <c r="I8" s="369">
        <v>23701</v>
      </c>
    </row>
    <row r="9" spans="1:9" ht="18.75" customHeight="1" x14ac:dyDescent="0.2">
      <c r="A9" s="351">
        <v>6</v>
      </c>
      <c r="B9" s="352" t="s">
        <v>943</v>
      </c>
      <c r="C9" s="352" t="s">
        <v>944</v>
      </c>
      <c r="D9" s="353">
        <v>5947278</v>
      </c>
      <c r="E9" s="353">
        <v>615000</v>
      </c>
      <c r="F9" s="352" t="s">
        <v>941</v>
      </c>
      <c r="G9" s="352" t="s">
        <v>945</v>
      </c>
      <c r="H9" s="354">
        <v>0.5</v>
      </c>
      <c r="I9" s="370">
        <v>65864</v>
      </c>
    </row>
    <row r="10" spans="1:9" ht="18.75" customHeight="1" x14ac:dyDescent="0.2">
      <c r="A10" s="351">
        <v>7</v>
      </c>
      <c r="B10" s="352" t="s">
        <v>936</v>
      </c>
      <c r="C10" s="352" t="s">
        <v>946</v>
      </c>
      <c r="D10" s="353"/>
      <c r="E10" s="353"/>
      <c r="F10" s="352" t="s">
        <v>941</v>
      </c>
      <c r="G10" s="352" t="s">
        <v>947</v>
      </c>
      <c r="H10" s="354">
        <v>1</v>
      </c>
      <c r="I10" s="370">
        <v>150000</v>
      </c>
    </row>
    <row r="11" spans="1:9" ht="18.75" customHeight="1" x14ac:dyDescent="0.2">
      <c r="A11" s="351">
        <v>8</v>
      </c>
      <c r="B11" s="352" t="s">
        <v>948</v>
      </c>
      <c r="C11" s="352" t="s">
        <v>949</v>
      </c>
      <c r="D11" s="353">
        <v>5944912</v>
      </c>
      <c r="E11" s="353">
        <v>615000</v>
      </c>
      <c r="F11" s="352" t="s">
        <v>941</v>
      </c>
      <c r="G11" s="352" t="s">
        <v>950</v>
      </c>
      <c r="H11" s="354">
        <v>1</v>
      </c>
      <c r="I11" s="369">
        <v>131614</v>
      </c>
    </row>
    <row r="12" spans="1:9" ht="18.75" customHeight="1" x14ac:dyDescent="0.2">
      <c r="A12" s="351">
        <v>9</v>
      </c>
      <c r="B12" s="352" t="s">
        <v>951</v>
      </c>
      <c r="C12" s="352" t="s">
        <v>952</v>
      </c>
      <c r="D12" s="353">
        <v>2016977</v>
      </c>
      <c r="E12" s="353">
        <v>615000</v>
      </c>
      <c r="F12" s="352" t="s">
        <v>941</v>
      </c>
      <c r="G12" s="352" t="s">
        <v>953</v>
      </c>
      <c r="H12" s="354">
        <v>1</v>
      </c>
      <c r="I12" s="369">
        <v>131641</v>
      </c>
    </row>
    <row r="13" spans="1:9" ht="18.75" customHeight="1" x14ac:dyDescent="0.2">
      <c r="A13" s="351">
        <v>10</v>
      </c>
      <c r="B13" s="352" t="s">
        <v>928</v>
      </c>
      <c r="C13" s="352" t="s">
        <v>929</v>
      </c>
      <c r="D13" s="353">
        <v>5581635</v>
      </c>
      <c r="E13" s="353">
        <v>615000</v>
      </c>
      <c r="F13" s="352" t="s">
        <v>941</v>
      </c>
      <c r="G13" s="352" t="s">
        <v>954</v>
      </c>
      <c r="H13" s="354">
        <v>0.5</v>
      </c>
      <c r="I13" s="369">
        <v>64179</v>
      </c>
    </row>
    <row r="14" spans="1:9" ht="18.75" customHeight="1" x14ac:dyDescent="0.2">
      <c r="A14" s="351">
        <v>11</v>
      </c>
      <c r="B14" s="352" t="s">
        <v>955</v>
      </c>
      <c r="C14" s="352" t="s">
        <v>956</v>
      </c>
      <c r="D14" s="353">
        <v>5994911</v>
      </c>
      <c r="E14" s="353">
        <v>615000</v>
      </c>
      <c r="F14" s="352" t="s">
        <v>941</v>
      </c>
      <c r="G14" s="352" t="s">
        <v>957</v>
      </c>
      <c r="H14" s="354">
        <v>1</v>
      </c>
      <c r="I14" s="369">
        <v>155221</v>
      </c>
    </row>
    <row r="15" spans="1:9" ht="18.75" customHeight="1" x14ac:dyDescent="0.2">
      <c r="A15" s="351">
        <v>12</v>
      </c>
      <c r="B15" s="352" t="s">
        <v>958</v>
      </c>
      <c r="C15" s="352" t="s">
        <v>959</v>
      </c>
      <c r="D15" s="353">
        <v>5993069</v>
      </c>
      <c r="E15" s="353">
        <v>615000</v>
      </c>
      <c r="F15" s="352" t="s">
        <v>960</v>
      </c>
      <c r="G15" s="352" t="s">
        <v>961</v>
      </c>
      <c r="H15" s="354">
        <v>0.5</v>
      </c>
      <c r="I15" s="369">
        <v>59905</v>
      </c>
    </row>
    <row r="16" spans="1:9" ht="18.75" customHeight="1" x14ac:dyDescent="0.2">
      <c r="A16" s="351">
        <v>13</v>
      </c>
      <c r="B16" s="352" t="s">
        <v>962</v>
      </c>
      <c r="C16" s="352" t="s">
        <v>963</v>
      </c>
      <c r="D16" s="353">
        <v>3443023</v>
      </c>
      <c r="E16" s="353">
        <v>615003</v>
      </c>
      <c r="F16" s="352" t="s">
        <v>941</v>
      </c>
      <c r="G16" s="352" t="s">
        <v>964</v>
      </c>
      <c r="H16" s="354">
        <v>0.5</v>
      </c>
      <c r="I16" s="366"/>
    </row>
    <row r="17" spans="1:9" ht="18.75" customHeight="1" x14ac:dyDescent="0.2">
      <c r="A17" s="351">
        <v>14</v>
      </c>
      <c r="B17" s="352" t="s">
        <v>924</v>
      </c>
      <c r="C17" s="352" t="s">
        <v>965</v>
      </c>
      <c r="D17" s="353">
        <v>5043584</v>
      </c>
      <c r="E17" s="353">
        <v>615100</v>
      </c>
      <c r="F17" s="352" t="s">
        <v>941</v>
      </c>
      <c r="G17" s="352" t="s">
        <v>966</v>
      </c>
      <c r="H17" s="354">
        <v>1</v>
      </c>
      <c r="I17" s="369">
        <v>87498</v>
      </c>
    </row>
    <row r="18" spans="1:9" ht="18.75" customHeight="1" x14ac:dyDescent="0.2">
      <c r="A18" s="351">
        <v>15</v>
      </c>
      <c r="B18" s="352" t="s">
        <v>967</v>
      </c>
      <c r="C18" s="352" t="s">
        <v>968</v>
      </c>
      <c r="D18" s="353">
        <v>5594754</v>
      </c>
      <c r="E18" s="353">
        <v>615100</v>
      </c>
      <c r="F18" s="352" t="s">
        <v>941</v>
      </c>
      <c r="G18" s="352" t="s">
        <v>969</v>
      </c>
      <c r="H18" s="354" t="s">
        <v>942</v>
      </c>
      <c r="I18" s="369">
        <v>23818</v>
      </c>
    </row>
    <row r="19" spans="1:9" ht="18.75" customHeight="1" x14ac:dyDescent="0.2">
      <c r="A19" s="351">
        <v>16</v>
      </c>
      <c r="B19" s="352" t="s">
        <v>970</v>
      </c>
      <c r="C19" s="352" t="s">
        <v>971</v>
      </c>
      <c r="D19" s="353">
        <v>3408301</v>
      </c>
      <c r="E19" s="353">
        <v>621000</v>
      </c>
      <c r="F19" s="352" t="s">
        <v>972</v>
      </c>
      <c r="G19" s="352" t="s">
        <v>973</v>
      </c>
      <c r="H19" s="354" t="s">
        <v>974</v>
      </c>
      <c r="I19" s="369">
        <v>252000</v>
      </c>
    </row>
    <row r="20" spans="1:9" ht="18.75" customHeight="1" x14ac:dyDescent="0.2">
      <c r="A20" s="351">
        <v>17</v>
      </c>
      <c r="B20" s="352" t="s">
        <v>975</v>
      </c>
      <c r="C20" s="352" t="s">
        <v>976</v>
      </c>
      <c r="D20" s="353">
        <v>5992863</v>
      </c>
      <c r="E20" s="353">
        <v>621000</v>
      </c>
      <c r="F20" s="352" t="s">
        <v>972</v>
      </c>
      <c r="G20" s="352" t="s">
        <v>973</v>
      </c>
      <c r="H20" s="354">
        <v>0.75</v>
      </c>
      <c r="I20" s="369">
        <v>170000</v>
      </c>
    </row>
    <row r="21" spans="1:9" ht="18.75" customHeight="1" x14ac:dyDescent="0.2">
      <c r="A21" s="351">
        <v>18</v>
      </c>
      <c r="B21" s="352" t="s">
        <v>977</v>
      </c>
      <c r="C21" s="352" t="s">
        <v>978</v>
      </c>
      <c r="D21" s="353">
        <v>5517362</v>
      </c>
      <c r="E21" s="353">
        <v>621500</v>
      </c>
      <c r="F21" s="352" t="s">
        <v>386</v>
      </c>
      <c r="G21" s="352" t="s">
        <v>386</v>
      </c>
      <c r="H21" s="354">
        <v>1</v>
      </c>
      <c r="I21" s="369">
        <v>168247</v>
      </c>
    </row>
    <row r="22" spans="1:9" ht="18.75" customHeight="1" x14ac:dyDescent="0.2">
      <c r="A22" s="351">
        <v>19</v>
      </c>
      <c r="B22" s="352" t="s">
        <v>958</v>
      </c>
      <c r="C22" s="352" t="s">
        <v>979</v>
      </c>
      <c r="D22" s="353">
        <v>5091186</v>
      </c>
      <c r="E22" s="353">
        <v>623000</v>
      </c>
      <c r="F22" s="352" t="s">
        <v>980</v>
      </c>
      <c r="G22" s="352" t="s">
        <v>981</v>
      </c>
      <c r="H22" s="354">
        <v>0.42</v>
      </c>
      <c r="I22" s="370"/>
    </row>
    <row r="23" spans="1:9" ht="18.75" customHeight="1" x14ac:dyDescent="0.2">
      <c r="A23" s="351">
        <v>20</v>
      </c>
      <c r="B23" s="352" t="s">
        <v>958</v>
      </c>
      <c r="C23" s="352" t="s">
        <v>982</v>
      </c>
      <c r="D23" s="353">
        <v>5854368</v>
      </c>
      <c r="E23" s="353">
        <v>623000</v>
      </c>
      <c r="F23" s="352" t="s">
        <v>980</v>
      </c>
      <c r="G23" s="352" t="s">
        <v>980</v>
      </c>
      <c r="H23" s="354">
        <v>1</v>
      </c>
      <c r="I23" s="369">
        <v>115374</v>
      </c>
    </row>
    <row r="24" spans="1:9" ht="18.75" customHeight="1" x14ac:dyDescent="0.2">
      <c r="A24" s="351">
        <v>21</v>
      </c>
      <c r="B24" s="352" t="s">
        <v>983</v>
      </c>
      <c r="C24" s="352" t="s">
        <v>984</v>
      </c>
      <c r="D24" s="353">
        <v>2332248</v>
      </c>
      <c r="E24" s="353">
        <v>623000</v>
      </c>
      <c r="F24" s="352" t="s">
        <v>980</v>
      </c>
      <c r="G24" s="352" t="s">
        <v>980</v>
      </c>
      <c r="H24" s="354">
        <v>0.5</v>
      </c>
      <c r="I24" s="369">
        <v>56708</v>
      </c>
    </row>
    <row r="25" spans="1:9" ht="18.75" customHeight="1" x14ac:dyDescent="0.2">
      <c r="A25" s="351">
        <v>22</v>
      </c>
      <c r="B25" s="352" t="s">
        <v>928</v>
      </c>
      <c r="C25" s="352" t="s">
        <v>985</v>
      </c>
      <c r="D25" s="353">
        <v>5125326</v>
      </c>
      <c r="E25" s="353">
        <v>623000</v>
      </c>
      <c r="F25" s="352" t="s">
        <v>980</v>
      </c>
      <c r="G25" s="352" t="s">
        <v>986</v>
      </c>
      <c r="H25" s="354">
        <v>1</v>
      </c>
      <c r="I25" s="369">
        <v>116009</v>
      </c>
    </row>
    <row r="26" spans="1:9" ht="18.75" customHeight="1" x14ac:dyDescent="0.2">
      <c r="A26" s="351">
        <v>23</v>
      </c>
      <c r="B26" s="352" t="s">
        <v>987</v>
      </c>
      <c r="C26" s="352" t="s">
        <v>988</v>
      </c>
      <c r="D26" s="353">
        <v>5891124</v>
      </c>
      <c r="E26" s="353">
        <v>711100</v>
      </c>
      <c r="F26" s="352" t="s">
        <v>124</v>
      </c>
      <c r="G26" s="352" t="s">
        <v>989</v>
      </c>
      <c r="H26" s="354">
        <v>1</v>
      </c>
      <c r="I26" s="369">
        <f>57158*2</f>
        <v>114316</v>
      </c>
    </row>
    <row r="27" spans="1:9" ht="18.75" customHeight="1" x14ac:dyDescent="0.2">
      <c r="A27" s="351">
        <v>24</v>
      </c>
      <c r="B27" s="352" t="s">
        <v>990</v>
      </c>
      <c r="C27" s="352" t="s">
        <v>982</v>
      </c>
      <c r="D27" s="353">
        <v>5250845</v>
      </c>
      <c r="E27" s="353">
        <v>713000</v>
      </c>
      <c r="F27" s="352" t="s">
        <v>991</v>
      </c>
      <c r="G27" s="352" t="s">
        <v>992</v>
      </c>
      <c r="H27" s="354">
        <v>1</v>
      </c>
      <c r="I27" s="369">
        <v>127040</v>
      </c>
    </row>
    <row r="28" spans="1:9" ht="18.75" customHeight="1" x14ac:dyDescent="0.2">
      <c r="A28" s="351">
        <v>25</v>
      </c>
      <c r="B28" s="352" t="s">
        <v>993</v>
      </c>
      <c r="C28" s="352" t="s">
        <v>959</v>
      </c>
      <c r="D28" s="353">
        <v>30018623</v>
      </c>
      <c r="E28" s="353">
        <v>713000</v>
      </c>
      <c r="F28" s="352" t="s">
        <v>991</v>
      </c>
      <c r="G28" s="352" t="s">
        <v>994</v>
      </c>
      <c r="H28" s="354" t="s">
        <v>942</v>
      </c>
      <c r="I28" s="369">
        <v>34388</v>
      </c>
    </row>
    <row r="29" spans="1:9" ht="18.75" customHeight="1" x14ac:dyDescent="0.2">
      <c r="A29" s="351">
        <v>26</v>
      </c>
      <c r="B29" s="352" t="s">
        <v>995</v>
      </c>
      <c r="C29" s="352" t="s">
        <v>996</v>
      </c>
      <c r="D29" s="353">
        <v>5692116</v>
      </c>
      <c r="E29" s="353">
        <v>714100</v>
      </c>
      <c r="F29" s="352" t="s">
        <v>997</v>
      </c>
      <c r="G29" s="352" t="s">
        <v>998</v>
      </c>
      <c r="H29" s="354">
        <v>0.2</v>
      </c>
      <c r="I29" s="369">
        <v>76799</v>
      </c>
    </row>
    <row r="30" spans="1:9" ht="18.75" customHeight="1" x14ac:dyDescent="0.2">
      <c r="A30" s="351">
        <v>27</v>
      </c>
      <c r="B30" s="352" t="s">
        <v>999</v>
      </c>
      <c r="C30" s="352" t="s">
        <v>936</v>
      </c>
      <c r="D30" s="353">
        <v>9999999</v>
      </c>
      <c r="E30" s="353">
        <v>731000</v>
      </c>
      <c r="F30" s="352" t="s">
        <v>1000</v>
      </c>
      <c r="G30" s="352" t="s">
        <v>1001</v>
      </c>
      <c r="H30" s="354">
        <v>1</v>
      </c>
      <c r="I30" s="369">
        <v>280000</v>
      </c>
    </row>
    <row r="31" spans="1:9" ht="18.75" customHeight="1" x14ac:dyDescent="0.2">
      <c r="A31" s="351">
        <v>28</v>
      </c>
      <c r="B31" s="352" t="s">
        <v>1002</v>
      </c>
      <c r="C31" s="352" t="s">
        <v>1003</v>
      </c>
      <c r="D31" s="353">
        <v>9999999</v>
      </c>
      <c r="E31" s="353">
        <v>731000</v>
      </c>
      <c r="F31" s="352" t="s">
        <v>1000</v>
      </c>
      <c r="G31" s="352" t="s">
        <v>1004</v>
      </c>
      <c r="H31" s="354">
        <v>1</v>
      </c>
      <c r="I31" s="369">
        <v>85000</v>
      </c>
    </row>
    <row r="32" spans="1:9" ht="18.75" customHeight="1" x14ac:dyDescent="0.2">
      <c r="A32" s="351">
        <v>29</v>
      </c>
      <c r="B32" s="352" t="s">
        <v>1005</v>
      </c>
      <c r="C32" s="352" t="s">
        <v>929</v>
      </c>
      <c r="D32" s="353">
        <v>2910410</v>
      </c>
      <c r="E32" s="353">
        <v>731000</v>
      </c>
      <c r="F32" s="352" t="s">
        <v>1000</v>
      </c>
      <c r="G32" s="352" t="s">
        <v>931</v>
      </c>
      <c r="H32" s="354">
        <v>1</v>
      </c>
      <c r="I32" s="369">
        <v>92372</v>
      </c>
    </row>
    <row r="33" spans="1:9" ht="18.75" customHeight="1" x14ac:dyDescent="0.2">
      <c r="A33" s="351">
        <v>30</v>
      </c>
      <c r="B33" s="352" t="s">
        <v>948</v>
      </c>
      <c r="C33" s="352" t="s">
        <v>1006</v>
      </c>
      <c r="D33" s="353">
        <v>2346198</v>
      </c>
      <c r="E33" s="353">
        <v>731000</v>
      </c>
      <c r="F33" s="352" t="s">
        <v>1000</v>
      </c>
      <c r="G33" s="352" t="s">
        <v>1007</v>
      </c>
      <c r="H33" s="354">
        <v>1</v>
      </c>
      <c r="I33" s="370">
        <v>88608</v>
      </c>
    </row>
    <row r="34" spans="1:9" ht="18.75" customHeight="1" x14ac:dyDescent="0.2">
      <c r="A34" s="351">
        <v>31</v>
      </c>
      <c r="B34" s="352" t="s">
        <v>958</v>
      </c>
      <c r="C34" s="352" t="s">
        <v>1008</v>
      </c>
      <c r="D34" s="353">
        <v>3117319</v>
      </c>
      <c r="E34" s="353">
        <v>742200</v>
      </c>
      <c r="F34" s="352" t="s">
        <v>1009</v>
      </c>
      <c r="G34" s="352" t="s">
        <v>1010</v>
      </c>
      <c r="H34" s="354" t="s">
        <v>942</v>
      </c>
      <c r="I34" s="369">
        <v>55785</v>
      </c>
    </row>
    <row r="35" spans="1:9" ht="18.75" customHeight="1" x14ac:dyDescent="0.2">
      <c r="A35" s="351">
        <v>32</v>
      </c>
      <c r="B35" s="352" t="s">
        <v>958</v>
      </c>
      <c r="C35" s="352" t="s">
        <v>1011</v>
      </c>
      <c r="D35" s="353">
        <v>4624553</v>
      </c>
      <c r="E35" s="353">
        <v>742200</v>
      </c>
      <c r="F35" s="352" t="s">
        <v>1009</v>
      </c>
      <c r="G35" s="352" t="s">
        <v>1010</v>
      </c>
      <c r="H35" s="354" t="s">
        <v>942</v>
      </c>
      <c r="I35" s="369">
        <v>51914</v>
      </c>
    </row>
    <row r="36" spans="1:9" ht="18.75" customHeight="1" x14ac:dyDescent="0.2">
      <c r="A36" s="351">
        <v>33</v>
      </c>
      <c r="B36" s="352" t="s">
        <v>924</v>
      </c>
      <c r="C36" s="352" t="s">
        <v>1012</v>
      </c>
      <c r="D36" s="353">
        <v>2827909</v>
      </c>
      <c r="E36" s="353">
        <v>742200</v>
      </c>
      <c r="F36" s="352" t="s">
        <v>1009</v>
      </c>
      <c r="G36" s="352" t="s">
        <v>1010</v>
      </c>
      <c r="H36" s="354">
        <v>1</v>
      </c>
      <c r="I36" s="369">
        <v>128246</v>
      </c>
    </row>
    <row r="37" spans="1:9" ht="18.75" customHeight="1" x14ac:dyDescent="0.2">
      <c r="A37" s="351">
        <v>34</v>
      </c>
      <c r="B37" s="352" t="s">
        <v>975</v>
      </c>
      <c r="C37" s="352" t="s">
        <v>1013</v>
      </c>
      <c r="D37" s="353">
        <v>5938504</v>
      </c>
      <c r="E37" s="353">
        <v>742200</v>
      </c>
      <c r="F37" s="352" t="s">
        <v>1009</v>
      </c>
      <c r="G37" s="352" t="s">
        <v>1010</v>
      </c>
      <c r="H37" s="354">
        <v>1</v>
      </c>
      <c r="I37" s="369">
        <v>117606</v>
      </c>
    </row>
    <row r="38" spans="1:9" ht="18.75" customHeight="1" x14ac:dyDescent="0.2">
      <c r="A38" s="351">
        <v>35</v>
      </c>
      <c r="B38" s="352" t="s">
        <v>1014</v>
      </c>
      <c r="C38" s="352" t="s">
        <v>1015</v>
      </c>
      <c r="D38" s="353">
        <v>5440715</v>
      </c>
      <c r="E38" s="353">
        <v>742200</v>
      </c>
      <c r="F38" s="352" t="s">
        <v>1009</v>
      </c>
      <c r="G38" s="352" t="s">
        <v>1010</v>
      </c>
      <c r="H38" s="354">
        <v>1</v>
      </c>
      <c r="I38" s="370">
        <f>97002/4</f>
        <v>24250.5</v>
      </c>
    </row>
    <row r="39" spans="1:9" ht="18.75" customHeight="1" x14ac:dyDescent="0.2">
      <c r="A39" s="351">
        <v>36</v>
      </c>
      <c r="B39" s="352" t="s">
        <v>943</v>
      </c>
      <c r="C39" s="352" t="s">
        <v>1016</v>
      </c>
      <c r="D39" s="353">
        <v>30506501</v>
      </c>
      <c r="E39" s="353">
        <v>742200</v>
      </c>
      <c r="F39" s="352" t="s">
        <v>1009</v>
      </c>
      <c r="G39" s="352" t="s">
        <v>1010</v>
      </c>
      <c r="H39" s="354" t="s">
        <v>942</v>
      </c>
      <c r="I39" s="370">
        <f>55000/4</f>
        <v>13750</v>
      </c>
    </row>
    <row r="40" spans="1:9" ht="18.75" customHeight="1" x14ac:dyDescent="0.2">
      <c r="A40" s="351">
        <v>37</v>
      </c>
      <c r="B40" s="352" t="s">
        <v>1017</v>
      </c>
      <c r="C40" s="352" t="s">
        <v>1018</v>
      </c>
      <c r="D40" s="353">
        <v>5575149</v>
      </c>
      <c r="E40" s="353">
        <v>742200</v>
      </c>
      <c r="F40" s="352" t="s">
        <v>1009</v>
      </c>
      <c r="G40" s="352" t="s">
        <v>1010</v>
      </c>
      <c r="H40" s="354" t="s">
        <v>942</v>
      </c>
      <c r="I40" s="369">
        <v>55000</v>
      </c>
    </row>
    <row r="41" spans="1:9" ht="18.75" customHeight="1" x14ac:dyDescent="0.2">
      <c r="A41" s="351">
        <v>38</v>
      </c>
      <c r="B41" s="352" t="s">
        <v>924</v>
      </c>
      <c r="C41" s="352" t="s">
        <v>1019</v>
      </c>
      <c r="D41" s="353">
        <v>27674282</v>
      </c>
      <c r="E41" s="353">
        <v>742200</v>
      </c>
      <c r="F41" s="352" t="s">
        <v>1009</v>
      </c>
      <c r="G41" s="352" t="s">
        <v>1010</v>
      </c>
      <c r="H41" s="354" t="s">
        <v>942</v>
      </c>
      <c r="I41" s="369">
        <v>55000</v>
      </c>
    </row>
    <row r="42" spans="1:9" ht="18.75" customHeight="1" x14ac:dyDescent="0.2">
      <c r="A42" s="351"/>
      <c r="B42" s="352" t="s">
        <v>1020</v>
      </c>
      <c r="C42" s="352" t="s">
        <v>1021</v>
      </c>
      <c r="D42" s="353">
        <v>99999999</v>
      </c>
      <c r="E42" s="353"/>
      <c r="F42" s="352" t="s">
        <v>1010</v>
      </c>
      <c r="G42" s="352" t="s">
        <v>1010</v>
      </c>
      <c r="H42" s="354" t="s">
        <v>942</v>
      </c>
      <c r="I42" s="369">
        <v>40000</v>
      </c>
    </row>
    <row r="43" spans="1:9" ht="18.75" customHeight="1" x14ac:dyDescent="0.2">
      <c r="A43" s="351">
        <v>39</v>
      </c>
      <c r="B43" s="352" t="s">
        <v>924</v>
      </c>
      <c r="C43" s="352" t="s">
        <v>1022</v>
      </c>
      <c r="D43" s="353">
        <v>5443083</v>
      </c>
      <c r="E43" s="353">
        <v>811000</v>
      </c>
      <c r="F43" s="352" t="s">
        <v>131</v>
      </c>
      <c r="G43" s="352" t="s">
        <v>1023</v>
      </c>
      <c r="H43" s="354">
        <v>1</v>
      </c>
      <c r="I43" s="369">
        <v>210317</v>
      </c>
    </row>
    <row r="44" spans="1:9" ht="18.75" customHeight="1" x14ac:dyDescent="0.2">
      <c r="A44" s="351">
        <v>40</v>
      </c>
      <c r="B44" s="352" t="s">
        <v>1024</v>
      </c>
      <c r="C44" s="352"/>
      <c r="D44" s="353"/>
      <c r="E44" s="353"/>
      <c r="F44" s="352" t="s">
        <v>131</v>
      </c>
      <c r="G44" s="352" t="s">
        <v>931</v>
      </c>
      <c r="H44" s="354">
        <v>0.5</v>
      </c>
      <c r="I44" s="369">
        <v>40000</v>
      </c>
    </row>
    <row r="45" spans="1:9" ht="18.75" customHeight="1" x14ac:dyDescent="0.2">
      <c r="A45" s="351">
        <v>41</v>
      </c>
      <c r="B45" s="352" t="s">
        <v>1025</v>
      </c>
      <c r="C45" s="352" t="s">
        <v>1026</v>
      </c>
      <c r="D45" s="353">
        <v>2827928</v>
      </c>
      <c r="E45" s="353">
        <v>812210</v>
      </c>
      <c r="F45" s="352" t="s">
        <v>131</v>
      </c>
      <c r="G45" s="352" t="s">
        <v>1027</v>
      </c>
      <c r="H45" s="354">
        <v>1</v>
      </c>
      <c r="I45" s="369">
        <v>138662</v>
      </c>
    </row>
    <row r="46" spans="1:9" ht="18.75" customHeight="1" x14ac:dyDescent="0.2">
      <c r="A46" s="351">
        <v>42</v>
      </c>
      <c r="B46" s="352" t="s">
        <v>958</v>
      </c>
      <c r="C46" s="352" t="s">
        <v>1028</v>
      </c>
      <c r="D46" s="353">
        <v>5993069</v>
      </c>
      <c r="E46" s="353">
        <v>823000</v>
      </c>
      <c r="F46" s="352" t="s">
        <v>1029</v>
      </c>
      <c r="G46" s="352" t="s">
        <v>1030</v>
      </c>
      <c r="H46" s="354">
        <v>0.75</v>
      </c>
      <c r="I46" s="369">
        <v>67981</v>
      </c>
    </row>
    <row r="47" spans="1:9" ht="18.75" customHeight="1" x14ac:dyDescent="0.2">
      <c r="A47" s="351">
        <v>43</v>
      </c>
      <c r="B47" s="352" t="s">
        <v>951</v>
      </c>
      <c r="C47" s="352" t="s">
        <v>1031</v>
      </c>
      <c r="D47" s="353">
        <v>4170918</v>
      </c>
      <c r="E47" s="353">
        <v>823000</v>
      </c>
      <c r="F47" s="352" t="s">
        <v>1029</v>
      </c>
      <c r="G47" s="352" t="s">
        <v>1030</v>
      </c>
      <c r="H47" s="354" t="s">
        <v>942</v>
      </c>
      <c r="I47" s="369">
        <v>30464</v>
      </c>
    </row>
    <row r="48" spans="1:9" ht="18.75" customHeight="1" x14ac:dyDescent="0.2">
      <c r="A48" s="351">
        <v>44</v>
      </c>
      <c r="B48" s="352" t="s">
        <v>924</v>
      </c>
      <c r="C48" s="352" t="s">
        <v>1032</v>
      </c>
      <c r="D48" s="353">
        <v>2625132</v>
      </c>
      <c r="E48" s="353">
        <v>824000</v>
      </c>
      <c r="F48" s="352" t="s">
        <v>1033</v>
      </c>
      <c r="G48" s="352" t="s">
        <v>981</v>
      </c>
      <c r="H48" s="354" t="s">
        <v>942</v>
      </c>
      <c r="I48" s="369">
        <v>35285</v>
      </c>
    </row>
    <row r="49" spans="1:9" ht="18.75" customHeight="1" x14ac:dyDescent="0.2">
      <c r="A49" s="351">
        <v>45</v>
      </c>
      <c r="B49" s="352" t="s">
        <v>987</v>
      </c>
      <c r="C49" s="352" t="s">
        <v>1034</v>
      </c>
      <c r="D49" s="353">
        <v>2750789</v>
      </c>
      <c r="E49" s="353">
        <v>824000</v>
      </c>
      <c r="F49" s="352" t="s">
        <v>1033</v>
      </c>
      <c r="G49" s="352" t="s">
        <v>931</v>
      </c>
      <c r="H49" s="354" t="s">
        <v>942</v>
      </c>
      <c r="I49" s="369">
        <v>32105</v>
      </c>
    </row>
    <row r="50" spans="1:9" ht="18.75" customHeight="1" x14ac:dyDescent="0.2">
      <c r="A50" s="351">
        <v>46</v>
      </c>
      <c r="B50" s="352" t="s">
        <v>1035</v>
      </c>
      <c r="C50" s="352" t="s">
        <v>1036</v>
      </c>
      <c r="D50" s="353">
        <v>5763010</v>
      </c>
      <c r="E50" s="353">
        <v>825000</v>
      </c>
      <c r="F50" s="352" t="s">
        <v>1037</v>
      </c>
      <c r="G50" s="352" t="s">
        <v>981</v>
      </c>
      <c r="H50" s="354" t="s">
        <v>942</v>
      </c>
      <c r="I50" s="369">
        <v>26296.81</v>
      </c>
    </row>
    <row r="51" spans="1:9" ht="18.75" customHeight="1" x14ac:dyDescent="0.2">
      <c r="A51" s="351">
        <v>47</v>
      </c>
      <c r="B51" s="352" t="s">
        <v>924</v>
      </c>
      <c r="C51" s="352" t="s">
        <v>924</v>
      </c>
      <c r="D51" s="353">
        <v>5625888</v>
      </c>
      <c r="E51" s="353">
        <v>828000</v>
      </c>
      <c r="F51" s="352" t="s">
        <v>1038</v>
      </c>
      <c r="G51" s="352" t="s">
        <v>1039</v>
      </c>
      <c r="H51" s="354">
        <v>1</v>
      </c>
      <c r="I51" s="369">
        <v>177141</v>
      </c>
    </row>
    <row r="52" spans="1:9" ht="18.75" customHeight="1" x14ac:dyDescent="0.2">
      <c r="A52" s="351">
        <v>48</v>
      </c>
      <c r="B52" s="352" t="s">
        <v>924</v>
      </c>
      <c r="C52" s="352" t="s">
        <v>1040</v>
      </c>
      <c r="D52" s="353">
        <v>6287487</v>
      </c>
      <c r="E52" s="353">
        <v>828000</v>
      </c>
      <c r="F52" s="352" t="s">
        <v>1038</v>
      </c>
      <c r="G52" s="352" t="s">
        <v>1041</v>
      </c>
      <c r="H52" s="354">
        <v>0.5</v>
      </c>
      <c r="I52" s="369">
        <v>33987</v>
      </c>
    </row>
    <row r="53" spans="1:9" ht="18.75" customHeight="1" x14ac:dyDescent="0.2">
      <c r="A53" s="351">
        <v>49</v>
      </c>
      <c r="B53" s="352" t="s">
        <v>1042</v>
      </c>
      <c r="C53" s="352" t="s">
        <v>1043</v>
      </c>
      <c r="D53" s="353">
        <v>3605736</v>
      </c>
      <c r="E53" s="353">
        <v>828000</v>
      </c>
      <c r="F53" s="352" t="s">
        <v>1038</v>
      </c>
      <c r="G53" s="352" t="s">
        <v>1044</v>
      </c>
      <c r="H53" s="354" t="s">
        <v>942</v>
      </c>
      <c r="I53" s="370"/>
    </row>
    <row r="54" spans="1:9" ht="18.75" customHeight="1" x14ac:dyDescent="0.2">
      <c r="A54" s="351">
        <v>50</v>
      </c>
      <c r="B54" s="352" t="s">
        <v>1045</v>
      </c>
      <c r="C54" s="352" t="s">
        <v>1046</v>
      </c>
      <c r="D54" s="353">
        <v>3981145</v>
      </c>
      <c r="E54" s="353">
        <v>828000</v>
      </c>
      <c r="F54" s="352" t="s">
        <v>1038</v>
      </c>
      <c r="G54" s="352" t="s">
        <v>1044</v>
      </c>
      <c r="H54" s="354" t="s">
        <v>1047</v>
      </c>
      <c r="I54" s="369">
        <v>2824</v>
      </c>
    </row>
    <row r="55" spans="1:9" ht="18.75" customHeight="1" x14ac:dyDescent="0.2">
      <c r="A55" s="351">
        <v>51</v>
      </c>
      <c r="B55" s="352" t="s">
        <v>1018</v>
      </c>
      <c r="C55" s="352" t="s">
        <v>1048</v>
      </c>
      <c r="D55" s="353">
        <v>2815172</v>
      </c>
      <c r="E55" s="353">
        <v>828100</v>
      </c>
      <c r="F55" s="352" t="s">
        <v>1049</v>
      </c>
      <c r="G55" s="352" t="s">
        <v>1049</v>
      </c>
      <c r="H55" s="354" t="s">
        <v>942</v>
      </c>
      <c r="I55" s="369">
        <v>29296</v>
      </c>
    </row>
    <row r="56" spans="1:9" ht="18.75" customHeight="1" x14ac:dyDescent="0.2">
      <c r="A56" s="351">
        <v>52</v>
      </c>
      <c r="B56" s="352" t="s">
        <v>958</v>
      </c>
      <c r="C56" s="352" t="s">
        <v>1021</v>
      </c>
      <c r="D56" s="353">
        <v>3994968</v>
      </c>
      <c r="E56" s="353">
        <v>828100</v>
      </c>
      <c r="F56" s="352" t="s">
        <v>1049</v>
      </c>
      <c r="G56" s="352" t="s">
        <v>1049</v>
      </c>
      <c r="H56" s="354" t="s">
        <v>942</v>
      </c>
      <c r="I56" s="369">
        <v>16439</v>
      </c>
    </row>
    <row r="57" spans="1:9" ht="18.75" customHeight="1" x14ac:dyDescent="0.2">
      <c r="A57" s="351">
        <v>53</v>
      </c>
      <c r="B57" s="352" t="s">
        <v>1050</v>
      </c>
      <c r="C57" s="352" t="s">
        <v>1051</v>
      </c>
      <c r="D57" s="353">
        <v>5079682</v>
      </c>
      <c r="E57" s="353">
        <v>828100</v>
      </c>
      <c r="F57" s="352" t="s">
        <v>1049</v>
      </c>
      <c r="G57" s="352" t="s">
        <v>1049</v>
      </c>
      <c r="H57" s="354" t="s">
        <v>942</v>
      </c>
      <c r="I57" s="369">
        <v>36358</v>
      </c>
    </row>
    <row r="58" spans="1:9" ht="18.75" customHeight="1" x14ac:dyDescent="0.2">
      <c r="A58" s="351">
        <v>54</v>
      </c>
      <c r="B58" s="352" t="s">
        <v>1052</v>
      </c>
      <c r="C58" s="352" t="s">
        <v>1053</v>
      </c>
      <c r="D58" s="353">
        <v>5944923</v>
      </c>
      <c r="E58" s="353">
        <v>828100</v>
      </c>
      <c r="F58" s="352" t="s">
        <v>1049</v>
      </c>
      <c r="G58" s="352" t="s">
        <v>1054</v>
      </c>
      <c r="H58" s="354">
        <v>1</v>
      </c>
      <c r="I58" s="369">
        <v>139783</v>
      </c>
    </row>
    <row r="59" spans="1:9" ht="18.75" customHeight="1" x14ac:dyDescent="0.2">
      <c r="A59" s="351">
        <v>55</v>
      </c>
      <c r="B59" s="352" t="s">
        <v>1055</v>
      </c>
      <c r="C59" s="352" t="s">
        <v>1056</v>
      </c>
      <c r="D59" s="353">
        <v>2319428</v>
      </c>
      <c r="E59" s="353">
        <v>828200</v>
      </c>
      <c r="F59" s="352" t="s">
        <v>1057</v>
      </c>
      <c r="G59" s="352" t="s">
        <v>1057</v>
      </c>
      <c r="H59" s="354">
        <v>1</v>
      </c>
      <c r="I59" s="369">
        <v>58656</v>
      </c>
    </row>
    <row r="60" spans="1:9" ht="18.75" customHeight="1" x14ac:dyDescent="0.2">
      <c r="A60" s="351">
        <v>56</v>
      </c>
      <c r="B60" s="352" t="s">
        <v>1058</v>
      </c>
      <c r="C60" s="352" t="s">
        <v>1031</v>
      </c>
      <c r="D60" s="353">
        <v>6614573</v>
      </c>
      <c r="E60" s="353">
        <v>828200</v>
      </c>
      <c r="F60" s="352" t="s">
        <v>1059</v>
      </c>
      <c r="G60" s="352" t="s">
        <v>1060</v>
      </c>
      <c r="H60" s="354" t="s">
        <v>942</v>
      </c>
      <c r="I60" s="369">
        <v>34474</v>
      </c>
    </row>
    <row r="61" spans="1:9" ht="18.75" customHeight="1" x14ac:dyDescent="0.2">
      <c r="A61" s="351">
        <v>57</v>
      </c>
      <c r="B61" s="352" t="s">
        <v>1035</v>
      </c>
      <c r="C61" s="352" t="s">
        <v>971</v>
      </c>
      <c r="D61" s="353">
        <v>2618237</v>
      </c>
      <c r="E61" s="353">
        <v>828400</v>
      </c>
      <c r="F61" s="352" t="s">
        <v>1061</v>
      </c>
      <c r="G61" s="352" t="s">
        <v>1044</v>
      </c>
      <c r="H61" s="354" t="s">
        <v>942</v>
      </c>
      <c r="I61" s="369">
        <v>6962</v>
      </c>
    </row>
    <row r="62" spans="1:9" ht="18.75" customHeight="1" x14ac:dyDescent="0.2">
      <c r="A62" s="351">
        <v>58</v>
      </c>
      <c r="B62" s="352" t="s">
        <v>1062</v>
      </c>
      <c r="C62" s="352" t="s">
        <v>1063</v>
      </c>
      <c r="D62" s="353">
        <v>2597894</v>
      </c>
      <c r="E62" s="353">
        <v>828400</v>
      </c>
      <c r="F62" s="352" t="s">
        <v>1061</v>
      </c>
      <c r="G62" s="352" t="s">
        <v>1044</v>
      </c>
      <c r="H62" s="354" t="s">
        <v>942</v>
      </c>
      <c r="I62" s="370"/>
    </row>
    <row r="63" spans="1:9" ht="18.75" customHeight="1" x14ac:dyDescent="0.2">
      <c r="A63" s="351">
        <v>59</v>
      </c>
      <c r="B63" s="352" t="s">
        <v>936</v>
      </c>
      <c r="C63" s="352"/>
      <c r="D63" s="353"/>
      <c r="E63" s="353"/>
      <c r="F63" s="352" t="s">
        <v>132</v>
      </c>
      <c r="G63" s="352"/>
      <c r="H63" s="354">
        <v>1</v>
      </c>
      <c r="I63" s="370">
        <v>100000</v>
      </c>
    </row>
    <row r="64" spans="1:9" ht="18.75" customHeight="1" x14ac:dyDescent="0.2">
      <c r="A64" s="351">
        <v>60</v>
      </c>
      <c r="B64" s="352" t="s">
        <v>936</v>
      </c>
      <c r="C64" s="352" t="s">
        <v>936</v>
      </c>
      <c r="D64" s="353">
        <v>9999999</v>
      </c>
      <c r="E64" s="353">
        <v>829000</v>
      </c>
      <c r="F64" s="352" t="s">
        <v>1064</v>
      </c>
      <c r="G64" s="352" t="s">
        <v>1065</v>
      </c>
      <c r="H64" s="354">
        <v>0.5</v>
      </c>
      <c r="I64" s="369">
        <v>40000</v>
      </c>
    </row>
    <row r="65" spans="1:9" ht="18.75" customHeight="1" x14ac:dyDescent="0.2">
      <c r="A65" s="351">
        <v>61</v>
      </c>
      <c r="B65" s="352" t="s">
        <v>939</v>
      </c>
      <c r="C65" s="352" t="s">
        <v>1066</v>
      </c>
      <c r="D65" s="353">
        <v>5934878</v>
      </c>
      <c r="E65" s="353">
        <v>829000</v>
      </c>
      <c r="F65" s="352" t="s">
        <v>1064</v>
      </c>
      <c r="G65" s="352" t="s">
        <v>1067</v>
      </c>
      <c r="H65" s="354">
        <v>1</v>
      </c>
      <c r="I65" s="369">
        <v>100702</v>
      </c>
    </row>
    <row r="66" spans="1:9" ht="18.75" customHeight="1" x14ac:dyDescent="0.2">
      <c r="A66" s="351">
        <v>62</v>
      </c>
      <c r="B66" s="352" t="s">
        <v>1068</v>
      </c>
      <c r="C66" s="352" t="s">
        <v>1069</v>
      </c>
      <c r="D66" s="353">
        <v>2086314</v>
      </c>
      <c r="E66" s="353">
        <v>829000</v>
      </c>
      <c r="F66" s="352" t="s">
        <v>1064</v>
      </c>
      <c r="G66" s="352" t="s">
        <v>1070</v>
      </c>
      <c r="H66" s="354">
        <v>1</v>
      </c>
      <c r="I66" s="369">
        <v>88704</v>
      </c>
    </row>
    <row r="67" spans="1:9" ht="18.75" customHeight="1" x14ac:dyDescent="0.2">
      <c r="A67" s="351">
        <v>63</v>
      </c>
      <c r="B67" s="352" t="s">
        <v>939</v>
      </c>
      <c r="C67" s="352" t="s">
        <v>1071</v>
      </c>
      <c r="D67" s="353">
        <v>5387559</v>
      </c>
      <c r="E67" s="353">
        <v>832400</v>
      </c>
      <c r="F67" s="352" t="s">
        <v>1072</v>
      </c>
      <c r="G67" s="352" t="s">
        <v>1073</v>
      </c>
      <c r="H67" s="354">
        <v>0.42</v>
      </c>
      <c r="I67" s="369">
        <v>35218</v>
      </c>
    </row>
    <row r="68" spans="1:9" ht="18.75" customHeight="1" x14ac:dyDescent="0.2">
      <c r="A68" s="351">
        <v>64</v>
      </c>
      <c r="B68" s="352" t="s">
        <v>1074</v>
      </c>
      <c r="C68" s="352" t="s">
        <v>1075</v>
      </c>
      <c r="D68" s="353">
        <v>5517367</v>
      </c>
      <c r="E68" s="353">
        <v>832400</v>
      </c>
      <c r="F68" s="352" t="s">
        <v>1072</v>
      </c>
      <c r="G68" s="352" t="s">
        <v>1076</v>
      </c>
      <c r="H68" s="354">
        <v>0.5</v>
      </c>
      <c r="I68" s="369">
        <v>68554</v>
      </c>
    </row>
    <row r="69" spans="1:9" ht="18.75" customHeight="1" x14ac:dyDescent="0.2">
      <c r="A69" s="351">
        <v>65</v>
      </c>
      <c r="B69" s="352" t="s">
        <v>1077</v>
      </c>
      <c r="C69" s="352" t="s">
        <v>1078</v>
      </c>
      <c r="D69" s="353">
        <v>5996497</v>
      </c>
      <c r="E69" s="353">
        <v>832400</v>
      </c>
      <c r="F69" s="352" t="s">
        <v>1072</v>
      </c>
      <c r="G69" s="352" t="s">
        <v>1073</v>
      </c>
      <c r="H69" s="354">
        <v>0.42</v>
      </c>
      <c r="I69" s="370">
        <f>35268/4</f>
        <v>8817</v>
      </c>
    </row>
    <row r="70" spans="1:9" ht="18.75" customHeight="1" x14ac:dyDescent="0.2">
      <c r="A70" s="351">
        <v>66</v>
      </c>
      <c r="B70" s="352" t="s">
        <v>990</v>
      </c>
      <c r="C70" s="352" t="s">
        <v>1079</v>
      </c>
      <c r="D70" s="353">
        <v>5250834</v>
      </c>
      <c r="E70" s="353">
        <v>851100</v>
      </c>
      <c r="F70" s="352" t="s">
        <v>1080</v>
      </c>
      <c r="G70" s="352" t="s">
        <v>981</v>
      </c>
      <c r="H70" s="354">
        <v>0.5</v>
      </c>
      <c r="I70" s="369">
        <v>51771</v>
      </c>
    </row>
    <row r="71" spans="1:9" ht="18.75" customHeight="1" x14ac:dyDescent="0.2">
      <c r="A71" s="351">
        <v>67</v>
      </c>
      <c r="B71" s="352" t="s">
        <v>958</v>
      </c>
      <c r="C71" s="352" t="s">
        <v>1081</v>
      </c>
      <c r="D71" s="353">
        <v>2646223</v>
      </c>
      <c r="E71" s="353">
        <v>913000</v>
      </c>
      <c r="F71" s="352" t="s">
        <v>1082</v>
      </c>
      <c r="G71" s="352" t="s">
        <v>1083</v>
      </c>
      <c r="H71" s="354">
        <v>1</v>
      </c>
      <c r="I71" s="369">
        <v>90016</v>
      </c>
    </row>
    <row r="72" spans="1:9" ht="18.75" customHeight="1" x14ac:dyDescent="0.2">
      <c r="A72" s="351">
        <v>68</v>
      </c>
      <c r="B72" s="352" t="s">
        <v>958</v>
      </c>
      <c r="C72" s="352" t="s">
        <v>1084</v>
      </c>
      <c r="D72" s="353">
        <v>5987092</v>
      </c>
      <c r="E72" s="353">
        <v>913000</v>
      </c>
      <c r="F72" s="352" t="s">
        <v>1082</v>
      </c>
      <c r="G72" s="352" t="s">
        <v>1083</v>
      </c>
      <c r="H72" s="354">
        <v>1</v>
      </c>
      <c r="I72" s="369">
        <v>119653</v>
      </c>
    </row>
    <row r="73" spans="1:9" ht="18.75" customHeight="1" x14ac:dyDescent="0.2">
      <c r="A73" s="351">
        <v>69</v>
      </c>
      <c r="B73" s="352" t="s">
        <v>943</v>
      </c>
      <c r="C73" s="352" t="s">
        <v>1085</v>
      </c>
      <c r="D73" s="353">
        <v>5575111</v>
      </c>
      <c r="E73" s="353">
        <v>913000</v>
      </c>
      <c r="F73" s="352" t="s">
        <v>1082</v>
      </c>
      <c r="G73" s="352" t="s">
        <v>1083</v>
      </c>
      <c r="H73" s="354">
        <v>1</v>
      </c>
      <c r="I73" s="369">
        <v>111399</v>
      </c>
    </row>
    <row r="74" spans="1:9" ht="18.75" customHeight="1" x14ac:dyDescent="0.2">
      <c r="A74" s="351">
        <v>70</v>
      </c>
      <c r="B74" s="352" t="s">
        <v>975</v>
      </c>
      <c r="C74" s="352" t="s">
        <v>1086</v>
      </c>
      <c r="D74" s="353">
        <v>2834765</v>
      </c>
      <c r="E74" s="353">
        <v>913000</v>
      </c>
      <c r="F74" s="352" t="s">
        <v>1082</v>
      </c>
      <c r="G74" s="352" t="s">
        <v>1083</v>
      </c>
      <c r="H74" s="354">
        <v>1</v>
      </c>
      <c r="I74" s="369">
        <v>87734</v>
      </c>
    </row>
    <row r="75" spans="1:9" ht="18.75" customHeight="1" x14ac:dyDescent="0.2">
      <c r="A75" s="351">
        <v>71</v>
      </c>
      <c r="B75" s="352" t="s">
        <v>1087</v>
      </c>
      <c r="C75" s="352" t="s">
        <v>1088</v>
      </c>
      <c r="D75" s="353">
        <v>5625702</v>
      </c>
      <c r="E75" s="353">
        <v>913000</v>
      </c>
      <c r="F75" s="352" t="s">
        <v>1082</v>
      </c>
      <c r="G75" s="352" t="s">
        <v>1083</v>
      </c>
      <c r="H75" s="354">
        <v>1</v>
      </c>
      <c r="I75" s="369">
        <v>150158</v>
      </c>
    </row>
    <row r="76" spans="1:9" ht="18.75" customHeight="1" x14ac:dyDescent="0.2">
      <c r="A76" s="351">
        <v>72</v>
      </c>
      <c r="B76" s="352" t="s">
        <v>1089</v>
      </c>
      <c r="C76" s="352" t="s">
        <v>1090</v>
      </c>
      <c r="D76" s="353">
        <v>2824827</v>
      </c>
      <c r="E76" s="353">
        <v>913000</v>
      </c>
      <c r="F76" s="352" t="s">
        <v>1082</v>
      </c>
      <c r="G76" s="352" t="s">
        <v>1083</v>
      </c>
      <c r="H76" s="354">
        <v>1</v>
      </c>
      <c r="I76" s="369">
        <v>82053</v>
      </c>
    </row>
    <row r="77" spans="1:9" ht="18.75" customHeight="1" x14ac:dyDescent="0.2">
      <c r="A77" s="351">
        <v>73</v>
      </c>
      <c r="B77" s="352" t="s">
        <v>990</v>
      </c>
      <c r="C77" s="352" t="s">
        <v>1091</v>
      </c>
      <c r="D77" s="353">
        <v>5078583</v>
      </c>
      <c r="E77" s="353">
        <v>996000</v>
      </c>
      <c r="F77" s="352" t="s">
        <v>425</v>
      </c>
      <c r="G77" s="352" t="s">
        <v>425</v>
      </c>
      <c r="H77" s="354">
        <v>0.65</v>
      </c>
      <c r="I77" s="369">
        <v>46112.2</v>
      </c>
    </row>
    <row r="78" spans="1:9" ht="18.75" customHeight="1" x14ac:dyDescent="0.2">
      <c r="A78" s="351">
        <v>74</v>
      </c>
      <c r="B78" s="352" t="s">
        <v>958</v>
      </c>
      <c r="C78" s="352" t="s">
        <v>1092</v>
      </c>
      <c r="D78" s="353">
        <v>2021542</v>
      </c>
      <c r="E78" s="353">
        <v>996000</v>
      </c>
      <c r="F78" s="352" t="s">
        <v>425</v>
      </c>
      <c r="G78" s="352" t="s">
        <v>425</v>
      </c>
      <c r="H78" s="354">
        <v>0.438</v>
      </c>
      <c r="I78" s="369">
        <v>31102.6</v>
      </c>
    </row>
    <row r="79" spans="1:9" ht="18.75" customHeight="1" x14ac:dyDescent="0.2">
      <c r="A79" s="351">
        <v>75</v>
      </c>
      <c r="B79" s="352" t="s">
        <v>958</v>
      </c>
      <c r="C79" s="352" t="s">
        <v>1093</v>
      </c>
      <c r="D79" s="353">
        <v>2021543</v>
      </c>
      <c r="E79" s="353">
        <v>996000</v>
      </c>
      <c r="F79" s="352" t="s">
        <v>425</v>
      </c>
      <c r="G79" s="352" t="s">
        <v>425</v>
      </c>
      <c r="H79" s="354">
        <v>0.33</v>
      </c>
      <c r="I79" s="369">
        <v>21809.25</v>
      </c>
    </row>
    <row r="80" spans="1:9" ht="18.75" customHeight="1" x14ac:dyDescent="0.2">
      <c r="A80" s="351">
        <v>76</v>
      </c>
      <c r="B80" s="352" t="s">
        <v>958</v>
      </c>
      <c r="C80" s="352" t="s">
        <v>1094</v>
      </c>
      <c r="D80" s="353">
        <v>2021588</v>
      </c>
      <c r="E80" s="353">
        <v>996000</v>
      </c>
      <c r="F80" s="352" t="s">
        <v>425</v>
      </c>
      <c r="G80" s="352" t="s">
        <v>425</v>
      </c>
      <c r="H80" s="354">
        <v>0.7</v>
      </c>
      <c r="I80" s="369">
        <v>299839.8</v>
      </c>
    </row>
    <row r="81" spans="1:9" ht="18.75" customHeight="1" x14ac:dyDescent="0.2">
      <c r="A81" s="351">
        <v>77</v>
      </c>
      <c r="B81" s="352" t="s">
        <v>958</v>
      </c>
      <c r="C81" s="352" t="s">
        <v>1095</v>
      </c>
      <c r="D81" s="353">
        <v>2021917</v>
      </c>
      <c r="E81" s="353">
        <v>996000</v>
      </c>
      <c r="F81" s="352" t="s">
        <v>425</v>
      </c>
      <c r="G81" s="352" t="s">
        <v>425</v>
      </c>
      <c r="H81" s="354">
        <v>0.22800000000000001</v>
      </c>
      <c r="I81" s="369">
        <v>20275.55</v>
      </c>
    </row>
    <row r="82" spans="1:9" ht="18.75" customHeight="1" x14ac:dyDescent="0.2">
      <c r="A82" s="351">
        <v>78</v>
      </c>
      <c r="B82" s="352" t="s">
        <v>958</v>
      </c>
      <c r="C82" s="352" t="s">
        <v>1096</v>
      </c>
      <c r="D82" s="353">
        <v>2104122</v>
      </c>
      <c r="E82" s="353">
        <v>996000</v>
      </c>
      <c r="F82" s="352" t="s">
        <v>425</v>
      </c>
      <c r="G82" s="352" t="s">
        <v>425</v>
      </c>
      <c r="H82" s="354">
        <v>0.24</v>
      </c>
      <c r="I82" s="369">
        <v>19221.599999999999</v>
      </c>
    </row>
    <row r="83" spans="1:9" ht="18.75" customHeight="1" x14ac:dyDescent="0.2">
      <c r="A83" s="351">
        <v>79</v>
      </c>
      <c r="B83" s="352" t="s">
        <v>958</v>
      </c>
      <c r="C83" s="352" t="s">
        <v>1097</v>
      </c>
      <c r="D83" s="353">
        <v>3532972</v>
      </c>
      <c r="E83" s="353">
        <v>996000</v>
      </c>
      <c r="F83" s="352" t="s">
        <v>425</v>
      </c>
      <c r="G83" s="352" t="s">
        <v>425</v>
      </c>
      <c r="H83" s="354">
        <v>0.7</v>
      </c>
      <c r="I83" s="369">
        <v>144550.62</v>
      </c>
    </row>
    <row r="84" spans="1:9" ht="18.75" customHeight="1" x14ac:dyDescent="0.2">
      <c r="A84" s="351">
        <v>80</v>
      </c>
      <c r="B84" s="352" t="s">
        <v>1098</v>
      </c>
      <c r="C84" s="352" t="s">
        <v>1099</v>
      </c>
      <c r="D84" s="353">
        <v>5078581</v>
      </c>
      <c r="E84" s="353">
        <v>996000</v>
      </c>
      <c r="F84" s="352" t="s">
        <v>425</v>
      </c>
      <c r="G84" s="352" t="s">
        <v>425</v>
      </c>
      <c r="H84" s="354">
        <v>0.83</v>
      </c>
      <c r="I84" s="369">
        <v>70913</v>
      </c>
    </row>
    <row r="85" spans="1:9" ht="18.75" customHeight="1" x14ac:dyDescent="0.2">
      <c r="A85" s="351">
        <v>81</v>
      </c>
      <c r="B85" s="352" t="s">
        <v>1098</v>
      </c>
      <c r="C85" s="352" t="s">
        <v>1100</v>
      </c>
      <c r="D85" s="353">
        <v>3529446</v>
      </c>
      <c r="E85" s="353">
        <v>996000</v>
      </c>
      <c r="F85" s="352" t="s">
        <v>425</v>
      </c>
      <c r="G85" s="352" t="s">
        <v>425</v>
      </c>
      <c r="H85" s="354">
        <v>0.5</v>
      </c>
      <c r="I85" s="369">
        <v>40949</v>
      </c>
    </row>
    <row r="86" spans="1:9" ht="18.75" customHeight="1" x14ac:dyDescent="0.2">
      <c r="A86" s="351">
        <v>82</v>
      </c>
      <c r="B86" s="352" t="s">
        <v>1050</v>
      </c>
      <c r="C86" s="352" t="s">
        <v>1101</v>
      </c>
      <c r="D86" s="353">
        <v>2072913</v>
      </c>
      <c r="E86" s="353">
        <v>996000</v>
      </c>
      <c r="F86" s="352" t="s">
        <v>425</v>
      </c>
      <c r="G86" s="352" t="s">
        <v>425</v>
      </c>
      <c r="H86" s="354">
        <v>0.40300000000000002</v>
      </c>
      <c r="I86" s="369">
        <v>23916.1</v>
      </c>
    </row>
    <row r="87" spans="1:9" ht="18.75" customHeight="1" x14ac:dyDescent="0.2">
      <c r="A87" s="351">
        <v>83</v>
      </c>
      <c r="B87" s="352" t="s">
        <v>1102</v>
      </c>
      <c r="C87" s="352" t="s">
        <v>1103</v>
      </c>
      <c r="D87" s="353">
        <v>5688038</v>
      </c>
      <c r="E87" s="353">
        <v>996000</v>
      </c>
      <c r="F87" s="352" t="s">
        <v>425</v>
      </c>
      <c r="G87" s="352" t="s">
        <v>425</v>
      </c>
      <c r="H87" s="354">
        <v>0.30499999999999999</v>
      </c>
      <c r="I87" s="369">
        <v>61665</v>
      </c>
    </row>
    <row r="88" spans="1:9" ht="18.75" customHeight="1" x14ac:dyDescent="0.2">
      <c r="A88" s="351">
        <v>84</v>
      </c>
      <c r="B88" s="352" t="s">
        <v>983</v>
      </c>
      <c r="C88" s="352" t="s">
        <v>1104</v>
      </c>
      <c r="D88" s="353">
        <v>2016962</v>
      </c>
      <c r="E88" s="353">
        <v>996000</v>
      </c>
      <c r="F88" s="352" t="s">
        <v>425</v>
      </c>
      <c r="G88" s="352" t="s">
        <v>425</v>
      </c>
      <c r="H88" s="354">
        <v>0.18</v>
      </c>
      <c r="I88" s="369">
        <v>83688.149999999994</v>
      </c>
    </row>
    <row r="89" spans="1:9" ht="18.75" customHeight="1" x14ac:dyDescent="0.2">
      <c r="A89" s="351">
        <v>85</v>
      </c>
      <c r="B89" s="352" t="s">
        <v>983</v>
      </c>
      <c r="C89" s="352" t="s">
        <v>1105</v>
      </c>
      <c r="D89" s="353">
        <v>2021625</v>
      </c>
      <c r="E89" s="353">
        <v>996000</v>
      </c>
      <c r="F89" s="352" t="s">
        <v>425</v>
      </c>
      <c r="G89" s="352" t="s">
        <v>425</v>
      </c>
      <c r="H89" s="354">
        <v>0.64</v>
      </c>
      <c r="I89" s="369">
        <v>40939.050000000003</v>
      </c>
    </row>
    <row r="90" spans="1:9" ht="18.75" customHeight="1" x14ac:dyDescent="0.2">
      <c r="A90" s="351">
        <v>86</v>
      </c>
      <c r="B90" s="352" t="s">
        <v>983</v>
      </c>
      <c r="C90" s="352" t="s">
        <v>1106</v>
      </c>
      <c r="D90" s="353">
        <v>5481949</v>
      </c>
      <c r="E90" s="353">
        <v>996000</v>
      </c>
      <c r="F90" s="352" t="s">
        <v>425</v>
      </c>
      <c r="G90" s="352" t="s">
        <v>425</v>
      </c>
      <c r="H90" s="354">
        <v>0.65500000000000003</v>
      </c>
      <c r="I90" s="369">
        <v>73865.350000000006</v>
      </c>
    </row>
    <row r="91" spans="1:9" ht="18.75" customHeight="1" x14ac:dyDescent="0.2">
      <c r="A91" s="351">
        <v>87</v>
      </c>
      <c r="B91" s="352" t="s">
        <v>1052</v>
      </c>
      <c r="C91" s="352" t="s">
        <v>1107</v>
      </c>
      <c r="D91" s="353">
        <v>5625907</v>
      </c>
      <c r="E91" s="353">
        <v>996000</v>
      </c>
      <c r="F91" s="352" t="s">
        <v>425</v>
      </c>
      <c r="G91" s="352" t="s">
        <v>425</v>
      </c>
      <c r="H91" s="354">
        <v>0.63300000000000001</v>
      </c>
      <c r="I91" s="369">
        <v>92795.75</v>
      </c>
    </row>
    <row r="92" spans="1:9" ht="18.75" customHeight="1" x14ac:dyDescent="0.2">
      <c r="A92" s="351">
        <v>88</v>
      </c>
      <c r="B92" s="352" t="s">
        <v>1108</v>
      </c>
      <c r="C92" s="352" t="s">
        <v>1109</v>
      </c>
      <c r="D92" s="353">
        <v>5760050</v>
      </c>
      <c r="E92" s="353">
        <v>996000</v>
      </c>
      <c r="F92" s="352" t="s">
        <v>425</v>
      </c>
      <c r="G92" s="352" t="s">
        <v>425</v>
      </c>
      <c r="H92" s="354">
        <v>0.5</v>
      </c>
      <c r="I92" s="369">
        <v>50175</v>
      </c>
    </row>
    <row r="93" spans="1:9" ht="18.75" customHeight="1" x14ac:dyDescent="0.2">
      <c r="A93" s="351">
        <v>89</v>
      </c>
      <c r="B93" s="352" t="s">
        <v>1108</v>
      </c>
      <c r="C93" s="352" t="s">
        <v>1110</v>
      </c>
      <c r="D93" s="353">
        <v>5692217</v>
      </c>
      <c r="E93" s="353">
        <v>996000</v>
      </c>
      <c r="F93" s="352" t="s">
        <v>425</v>
      </c>
      <c r="G93" s="352" t="s">
        <v>425</v>
      </c>
      <c r="H93" s="354">
        <v>0.63</v>
      </c>
      <c r="I93" s="369">
        <v>50483.4</v>
      </c>
    </row>
    <row r="94" spans="1:9" ht="18.75" customHeight="1" x14ac:dyDescent="0.2">
      <c r="A94" s="351">
        <v>90</v>
      </c>
      <c r="B94" s="352" t="s">
        <v>1074</v>
      </c>
      <c r="C94" s="352" t="s">
        <v>956</v>
      </c>
      <c r="D94" s="353">
        <v>5688075</v>
      </c>
      <c r="E94" s="353">
        <v>996000</v>
      </c>
      <c r="F94" s="352" t="s">
        <v>425</v>
      </c>
      <c r="G94" s="352" t="s">
        <v>425</v>
      </c>
      <c r="H94" s="354">
        <v>1</v>
      </c>
      <c r="I94" s="369">
        <v>125629.71</v>
      </c>
    </row>
    <row r="95" spans="1:9" ht="18.75" customHeight="1" x14ac:dyDescent="0.2">
      <c r="A95" s="351">
        <v>91</v>
      </c>
      <c r="B95" s="352" t="s">
        <v>1111</v>
      </c>
      <c r="C95" s="352" t="s">
        <v>1112</v>
      </c>
      <c r="D95" s="353">
        <v>2016799</v>
      </c>
      <c r="E95" s="353">
        <v>996000</v>
      </c>
      <c r="F95" s="352" t="s">
        <v>425</v>
      </c>
      <c r="G95" s="352" t="s">
        <v>425</v>
      </c>
      <c r="H95" s="354">
        <v>0.44</v>
      </c>
      <c r="I95" s="369">
        <v>45789.599999999999</v>
      </c>
    </row>
    <row r="96" spans="1:9" ht="18.75" customHeight="1" x14ac:dyDescent="0.2">
      <c r="A96" s="351">
        <v>92</v>
      </c>
      <c r="B96" s="352" t="s">
        <v>924</v>
      </c>
      <c r="C96" s="352" t="s">
        <v>1113</v>
      </c>
      <c r="D96" s="353">
        <v>2021112</v>
      </c>
      <c r="E96" s="353">
        <v>996000</v>
      </c>
      <c r="F96" s="352" t="s">
        <v>425</v>
      </c>
      <c r="G96" s="352" t="s">
        <v>425</v>
      </c>
      <c r="H96" s="354">
        <v>0.67</v>
      </c>
      <c r="I96" s="369">
        <v>66871.75</v>
      </c>
    </row>
    <row r="97" spans="1:9" ht="18.75" customHeight="1" x14ac:dyDescent="0.2">
      <c r="A97" s="351">
        <v>93</v>
      </c>
      <c r="B97" s="352" t="s">
        <v>924</v>
      </c>
      <c r="C97" s="352" t="s">
        <v>1114</v>
      </c>
      <c r="D97" s="353">
        <v>2021139</v>
      </c>
      <c r="E97" s="353">
        <v>996000</v>
      </c>
      <c r="F97" s="352" t="s">
        <v>425</v>
      </c>
      <c r="G97" s="352" t="s">
        <v>425</v>
      </c>
      <c r="H97" s="354">
        <v>0.32</v>
      </c>
      <c r="I97" s="369">
        <v>21982.75</v>
      </c>
    </row>
    <row r="98" spans="1:9" ht="18.75" customHeight="1" x14ac:dyDescent="0.2">
      <c r="A98" s="351">
        <v>94</v>
      </c>
      <c r="B98" s="352" t="s">
        <v>924</v>
      </c>
      <c r="C98" s="352" t="s">
        <v>1115</v>
      </c>
      <c r="D98" s="353">
        <v>2049080</v>
      </c>
      <c r="E98" s="353">
        <v>996000</v>
      </c>
      <c r="F98" s="352" t="s">
        <v>425</v>
      </c>
      <c r="G98" s="352" t="s">
        <v>425</v>
      </c>
      <c r="H98" s="354">
        <v>0.39700000000000002</v>
      </c>
      <c r="I98" s="369">
        <v>41559.599999999999</v>
      </c>
    </row>
    <row r="99" spans="1:9" ht="18.75" customHeight="1" x14ac:dyDescent="0.2">
      <c r="A99" s="351">
        <v>95</v>
      </c>
      <c r="B99" s="352" t="s">
        <v>1116</v>
      </c>
      <c r="C99" s="352" t="s">
        <v>1117</v>
      </c>
      <c r="D99" s="353">
        <v>5938514</v>
      </c>
      <c r="E99" s="353">
        <v>996000</v>
      </c>
      <c r="F99" s="352" t="s">
        <v>425</v>
      </c>
      <c r="G99" s="352" t="s">
        <v>425</v>
      </c>
      <c r="H99" s="354">
        <v>0.7</v>
      </c>
      <c r="I99" s="369">
        <v>44804.95</v>
      </c>
    </row>
    <row r="100" spans="1:9" ht="18.75" customHeight="1" x14ac:dyDescent="0.2">
      <c r="A100" s="351">
        <v>96</v>
      </c>
      <c r="B100" s="352" t="s">
        <v>943</v>
      </c>
      <c r="C100" s="352" t="s">
        <v>1016</v>
      </c>
      <c r="D100" s="353">
        <v>2016851</v>
      </c>
      <c r="E100" s="353">
        <v>996000</v>
      </c>
      <c r="F100" s="352" t="s">
        <v>425</v>
      </c>
      <c r="G100" s="352" t="s">
        <v>425</v>
      </c>
      <c r="H100" s="354">
        <v>0.40300000000000002</v>
      </c>
      <c r="I100" s="369">
        <v>48200.15</v>
      </c>
    </row>
    <row r="101" spans="1:9" ht="18.75" customHeight="1" x14ac:dyDescent="0.2">
      <c r="A101" s="351">
        <v>97</v>
      </c>
      <c r="B101" s="352" t="s">
        <v>943</v>
      </c>
      <c r="C101" s="352" t="s">
        <v>1118</v>
      </c>
      <c r="D101" s="353">
        <v>2114913</v>
      </c>
      <c r="E101" s="353">
        <v>996000</v>
      </c>
      <c r="F101" s="352" t="s">
        <v>425</v>
      </c>
      <c r="G101" s="352" t="s">
        <v>425</v>
      </c>
      <c r="H101" s="354">
        <v>0.26200000000000001</v>
      </c>
      <c r="I101" s="369">
        <v>19786.32</v>
      </c>
    </row>
    <row r="102" spans="1:9" ht="18.75" customHeight="1" x14ac:dyDescent="0.2">
      <c r="A102" s="351">
        <v>98</v>
      </c>
      <c r="B102" s="352" t="s">
        <v>975</v>
      </c>
      <c r="C102" s="352" t="s">
        <v>996</v>
      </c>
      <c r="D102" s="353">
        <v>2016883</v>
      </c>
      <c r="E102" s="353">
        <v>996000</v>
      </c>
      <c r="F102" s="352" t="s">
        <v>425</v>
      </c>
      <c r="G102" s="352" t="s">
        <v>425</v>
      </c>
      <c r="H102" s="354">
        <v>1</v>
      </c>
      <c r="I102" s="369">
        <v>88256</v>
      </c>
    </row>
    <row r="103" spans="1:9" ht="18.75" customHeight="1" x14ac:dyDescent="0.2">
      <c r="A103" s="351">
        <v>99</v>
      </c>
      <c r="B103" s="352" t="s">
        <v>975</v>
      </c>
      <c r="C103" s="352" t="s">
        <v>1119</v>
      </c>
      <c r="D103" s="353">
        <v>2013214</v>
      </c>
      <c r="E103" s="353">
        <v>996000</v>
      </c>
      <c r="F103" s="352" t="s">
        <v>425</v>
      </c>
      <c r="G103" s="352" t="s">
        <v>425</v>
      </c>
      <c r="H103" s="354">
        <v>0.186</v>
      </c>
      <c r="I103" s="369">
        <v>11889.15</v>
      </c>
    </row>
    <row r="104" spans="1:9" ht="18.75" customHeight="1" x14ac:dyDescent="0.2">
      <c r="A104" s="351">
        <v>100</v>
      </c>
      <c r="B104" s="352" t="s">
        <v>975</v>
      </c>
      <c r="C104" s="352" t="s">
        <v>1120</v>
      </c>
      <c r="D104" s="353">
        <v>2021217</v>
      </c>
      <c r="E104" s="353">
        <v>996000</v>
      </c>
      <c r="F104" s="352" t="s">
        <v>425</v>
      </c>
      <c r="G104" s="352" t="s">
        <v>425</v>
      </c>
      <c r="H104" s="354">
        <v>0.38700000000000001</v>
      </c>
      <c r="I104" s="369">
        <v>191119.15</v>
      </c>
    </row>
    <row r="105" spans="1:9" ht="18.75" customHeight="1" x14ac:dyDescent="0.2">
      <c r="A105" s="351">
        <v>101</v>
      </c>
      <c r="B105" s="352" t="s">
        <v>975</v>
      </c>
      <c r="C105" s="352" t="s">
        <v>1121</v>
      </c>
      <c r="D105" s="353">
        <v>2021420</v>
      </c>
      <c r="E105" s="353">
        <v>996000</v>
      </c>
      <c r="F105" s="352" t="s">
        <v>425</v>
      </c>
      <c r="G105" s="352" t="s">
        <v>425</v>
      </c>
      <c r="H105" s="354">
        <v>0.2</v>
      </c>
      <c r="I105" s="369">
        <v>12741.2</v>
      </c>
    </row>
    <row r="106" spans="1:9" ht="18.75" customHeight="1" x14ac:dyDescent="0.2">
      <c r="A106" s="351">
        <v>102</v>
      </c>
      <c r="B106" s="352" t="s">
        <v>975</v>
      </c>
      <c r="C106" s="352" t="s">
        <v>1122</v>
      </c>
      <c r="D106" s="353">
        <v>3533437</v>
      </c>
      <c r="E106" s="353">
        <v>996000</v>
      </c>
      <c r="F106" s="352" t="s">
        <v>425</v>
      </c>
      <c r="G106" s="352" t="s">
        <v>425</v>
      </c>
      <c r="H106" s="354">
        <v>0.433</v>
      </c>
      <c r="I106" s="369">
        <v>60959.7</v>
      </c>
    </row>
    <row r="107" spans="1:9" ht="18.75" customHeight="1" x14ac:dyDescent="0.2">
      <c r="A107" s="351">
        <v>103</v>
      </c>
      <c r="B107" s="352" t="s">
        <v>1123</v>
      </c>
      <c r="C107" s="352" t="s">
        <v>975</v>
      </c>
      <c r="D107" s="353">
        <v>3528740</v>
      </c>
      <c r="E107" s="353">
        <v>996000</v>
      </c>
      <c r="F107" s="352" t="s">
        <v>425</v>
      </c>
      <c r="G107" s="352" t="s">
        <v>425</v>
      </c>
      <c r="H107" s="354">
        <v>0.21</v>
      </c>
      <c r="I107" s="369">
        <v>14235.4</v>
      </c>
    </row>
    <row r="108" spans="1:9" ht="18.75" customHeight="1" x14ac:dyDescent="0.2">
      <c r="A108" s="351">
        <v>104</v>
      </c>
      <c r="B108" s="352" t="s">
        <v>1068</v>
      </c>
      <c r="C108" s="352" t="s">
        <v>1124</v>
      </c>
      <c r="D108" s="353">
        <v>2012818</v>
      </c>
      <c r="E108" s="353">
        <v>996000</v>
      </c>
      <c r="F108" s="352" t="s">
        <v>425</v>
      </c>
      <c r="G108" s="352" t="s">
        <v>425</v>
      </c>
      <c r="H108" s="354">
        <v>0.36</v>
      </c>
      <c r="I108" s="369">
        <v>28033.75</v>
      </c>
    </row>
    <row r="109" spans="1:9" ht="18.75" customHeight="1" x14ac:dyDescent="0.2">
      <c r="A109" s="351">
        <v>105</v>
      </c>
      <c r="B109" s="352" t="s">
        <v>1068</v>
      </c>
      <c r="C109" s="352" t="s">
        <v>1125</v>
      </c>
      <c r="D109" s="353">
        <v>2021141</v>
      </c>
      <c r="E109" s="353">
        <v>996000</v>
      </c>
      <c r="F109" s="352" t="s">
        <v>425</v>
      </c>
      <c r="G109" s="352" t="s">
        <v>425</v>
      </c>
      <c r="H109" s="354">
        <v>0.67</v>
      </c>
      <c r="I109" s="369">
        <v>110506.35</v>
      </c>
    </row>
    <row r="110" spans="1:9" ht="18.75" customHeight="1" x14ac:dyDescent="0.2">
      <c r="A110" s="351">
        <v>106</v>
      </c>
      <c r="B110" s="352" t="s">
        <v>1058</v>
      </c>
      <c r="C110" s="352" t="s">
        <v>1126</v>
      </c>
      <c r="D110" s="353">
        <v>2016633</v>
      </c>
      <c r="E110" s="353">
        <v>996000</v>
      </c>
      <c r="F110" s="352" t="s">
        <v>425</v>
      </c>
      <c r="G110" s="352" t="s">
        <v>425</v>
      </c>
      <c r="H110" s="354">
        <v>0.224</v>
      </c>
      <c r="I110" s="369">
        <v>14212.95</v>
      </c>
    </row>
    <row r="111" spans="1:9" ht="18.75" customHeight="1" x14ac:dyDescent="0.2">
      <c r="A111" s="351">
        <v>107</v>
      </c>
      <c r="B111" s="352" t="s">
        <v>1127</v>
      </c>
      <c r="C111" s="352" t="s">
        <v>1128</v>
      </c>
      <c r="D111" s="353">
        <v>2021315</v>
      </c>
      <c r="E111" s="353">
        <v>996000</v>
      </c>
      <c r="F111" s="352" t="s">
        <v>425</v>
      </c>
      <c r="G111" s="352" t="s">
        <v>425</v>
      </c>
      <c r="H111" s="354">
        <v>0.4</v>
      </c>
      <c r="I111" s="369">
        <v>25974.799999999999</v>
      </c>
    </row>
    <row r="112" spans="1:9" ht="18.75" customHeight="1" x14ac:dyDescent="0.2">
      <c r="A112" s="351">
        <v>108</v>
      </c>
      <c r="B112" s="352" t="s">
        <v>1127</v>
      </c>
      <c r="C112" s="352" t="s">
        <v>1129</v>
      </c>
      <c r="D112" s="353">
        <v>5515856</v>
      </c>
      <c r="E112" s="353">
        <v>996000</v>
      </c>
      <c r="F112" s="352" t="s">
        <v>425</v>
      </c>
      <c r="G112" s="352" t="s">
        <v>425</v>
      </c>
      <c r="H112" s="354">
        <v>0.61599999999999999</v>
      </c>
      <c r="I112" s="369">
        <v>59556.65</v>
      </c>
    </row>
    <row r="113" spans="1:13" ht="18.75" customHeight="1" x14ac:dyDescent="0.2">
      <c r="A113" s="351">
        <v>109</v>
      </c>
      <c r="B113" s="352" t="s">
        <v>951</v>
      </c>
      <c r="C113" s="352" t="s">
        <v>1130</v>
      </c>
      <c r="D113" s="353">
        <v>2021476</v>
      </c>
      <c r="E113" s="353">
        <v>996000</v>
      </c>
      <c r="F113" s="352" t="s">
        <v>425</v>
      </c>
      <c r="G113" s="352" t="s">
        <v>425</v>
      </c>
      <c r="H113" s="354">
        <v>1</v>
      </c>
      <c r="I113" s="369">
        <v>106470.22</v>
      </c>
    </row>
    <row r="114" spans="1:13" ht="18.75" customHeight="1" x14ac:dyDescent="0.2">
      <c r="A114" s="351">
        <v>110</v>
      </c>
      <c r="B114" s="352" t="s">
        <v>951</v>
      </c>
      <c r="C114" s="352" t="s">
        <v>1131</v>
      </c>
      <c r="D114" s="353">
        <v>2016970</v>
      </c>
      <c r="E114" s="353">
        <v>996000</v>
      </c>
      <c r="F114" s="352" t="s">
        <v>425</v>
      </c>
      <c r="G114" s="352" t="s">
        <v>425</v>
      </c>
      <c r="H114" s="354">
        <v>0.27300000000000002</v>
      </c>
      <c r="I114" s="369">
        <v>21212.1</v>
      </c>
    </row>
    <row r="115" spans="1:13" ht="18.75" customHeight="1" x14ac:dyDescent="0.2">
      <c r="A115" s="351">
        <v>111</v>
      </c>
      <c r="B115" s="352" t="s">
        <v>951</v>
      </c>
      <c r="C115" s="352" t="s">
        <v>1084</v>
      </c>
      <c r="D115" s="353">
        <v>2021475</v>
      </c>
      <c r="E115" s="353">
        <v>996000</v>
      </c>
      <c r="F115" s="352" t="s">
        <v>425</v>
      </c>
      <c r="G115" s="352" t="s">
        <v>425</v>
      </c>
      <c r="H115" s="354">
        <v>0.35199999999999998</v>
      </c>
      <c r="I115" s="369">
        <v>82587.25</v>
      </c>
    </row>
    <row r="116" spans="1:13" ht="18.75" customHeight="1" x14ac:dyDescent="0.2">
      <c r="A116" s="351">
        <v>112</v>
      </c>
      <c r="B116" s="352" t="s">
        <v>951</v>
      </c>
      <c r="C116" s="352" t="s">
        <v>1019</v>
      </c>
      <c r="D116" s="353">
        <v>2021981</v>
      </c>
      <c r="E116" s="353">
        <v>996000</v>
      </c>
      <c r="F116" s="352" t="s">
        <v>425</v>
      </c>
      <c r="G116" s="352" t="s">
        <v>425</v>
      </c>
      <c r="H116" s="354">
        <v>0.56000000000000005</v>
      </c>
      <c r="I116" s="369">
        <v>47407.8</v>
      </c>
    </row>
    <row r="117" spans="1:13" ht="18.75" customHeight="1" x14ac:dyDescent="0.2">
      <c r="A117" s="351">
        <v>113</v>
      </c>
      <c r="B117" s="352" t="s">
        <v>987</v>
      </c>
      <c r="C117" s="352" t="s">
        <v>1132</v>
      </c>
      <c r="D117" s="353">
        <v>2021340</v>
      </c>
      <c r="E117" s="353">
        <v>996000</v>
      </c>
      <c r="F117" s="352" t="s">
        <v>425</v>
      </c>
      <c r="G117" s="352" t="s">
        <v>425</v>
      </c>
      <c r="H117" s="354">
        <v>0.26800000000000002</v>
      </c>
      <c r="I117" s="369">
        <v>17999.05</v>
      </c>
    </row>
    <row r="118" spans="1:13" ht="18.75" customHeight="1" x14ac:dyDescent="0.2">
      <c r="A118" s="351">
        <v>114</v>
      </c>
      <c r="B118" s="352" t="s">
        <v>987</v>
      </c>
      <c r="C118" s="352" t="s">
        <v>1133</v>
      </c>
      <c r="D118" s="353">
        <v>5250811</v>
      </c>
      <c r="E118" s="353">
        <v>996000</v>
      </c>
      <c r="F118" s="352" t="s">
        <v>425</v>
      </c>
      <c r="G118" s="352" t="s">
        <v>425</v>
      </c>
      <c r="H118" s="354">
        <v>0.26800000000000002</v>
      </c>
      <c r="I118" s="369">
        <v>17324.25</v>
      </c>
    </row>
    <row r="119" spans="1:13" ht="18.75" customHeight="1" x14ac:dyDescent="0.2">
      <c r="A119" s="351">
        <v>115</v>
      </c>
      <c r="B119" s="352" t="s">
        <v>987</v>
      </c>
      <c r="C119" s="352" t="s">
        <v>1134</v>
      </c>
      <c r="D119" s="353">
        <v>8099260</v>
      </c>
      <c r="E119" s="353">
        <v>996000</v>
      </c>
      <c r="F119" s="352" t="s">
        <v>425</v>
      </c>
      <c r="G119" s="352" t="s">
        <v>425</v>
      </c>
      <c r="H119" s="354">
        <v>0.29499999999999998</v>
      </c>
      <c r="I119" s="369">
        <v>20742.7</v>
      </c>
    </row>
    <row r="120" spans="1:13" ht="18.75" customHeight="1" x14ac:dyDescent="0.2">
      <c r="A120" s="351">
        <v>116</v>
      </c>
      <c r="B120" s="352" t="s">
        <v>1135</v>
      </c>
      <c r="C120" s="352" t="s">
        <v>1136</v>
      </c>
      <c r="D120" s="353">
        <v>3547802</v>
      </c>
      <c r="E120" s="353">
        <v>996000</v>
      </c>
      <c r="F120" s="352" t="s">
        <v>425</v>
      </c>
      <c r="G120" s="352" t="s">
        <v>425</v>
      </c>
      <c r="H120" s="354">
        <v>0.33100000000000002</v>
      </c>
      <c r="I120" s="369">
        <v>26155.05</v>
      </c>
    </row>
    <row r="121" spans="1:13" ht="18.75" customHeight="1" x14ac:dyDescent="0.2">
      <c r="A121" s="351">
        <v>117</v>
      </c>
      <c r="B121" s="352" t="s">
        <v>1137</v>
      </c>
      <c r="C121" s="352" t="s">
        <v>1138</v>
      </c>
      <c r="D121" s="353">
        <v>5049194</v>
      </c>
      <c r="E121" s="353">
        <v>996000</v>
      </c>
      <c r="F121" s="352" t="s">
        <v>425</v>
      </c>
      <c r="G121" s="352" t="s">
        <v>425</v>
      </c>
      <c r="H121" s="354">
        <v>0.4</v>
      </c>
      <c r="I121" s="369">
        <v>141213.43</v>
      </c>
    </row>
    <row r="122" spans="1:13" ht="18.75" customHeight="1" x14ac:dyDescent="0.2">
      <c r="A122" s="351">
        <v>118</v>
      </c>
      <c r="B122" s="352" t="s">
        <v>928</v>
      </c>
      <c r="C122" s="352" t="s">
        <v>1102</v>
      </c>
      <c r="D122" s="353">
        <v>2021321</v>
      </c>
      <c r="E122" s="353">
        <v>996000</v>
      </c>
      <c r="F122" s="352" t="s">
        <v>425</v>
      </c>
      <c r="G122" s="352" t="s">
        <v>425</v>
      </c>
      <c r="H122" s="354">
        <v>0.192</v>
      </c>
      <c r="I122" s="369">
        <v>89664.65</v>
      </c>
    </row>
    <row r="123" spans="1:13" ht="18.75" customHeight="1" x14ac:dyDescent="0.2">
      <c r="A123" s="351">
        <v>119</v>
      </c>
      <c r="B123" s="352" t="s">
        <v>928</v>
      </c>
      <c r="C123" s="352" t="s">
        <v>1139</v>
      </c>
      <c r="D123" s="353">
        <v>5056735</v>
      </c>
      <c r="E123" s="353">
        <v>996000</v>
      </c>
      <c r="F123" s="352" t="s">
        <v>425</v>
      </c>
      <c r="G123" s="352" t="s">
        <v>425</v>
      </c>
      <c r="H123" s="354">
        <v>0.222</v>
      </c>
      <c r="I123" s="369">
        <v>16686.189999999999</v>
      </c>
    </row>
    <row r="124" spans="1:13" ht="18.75" customHeight="1" x14ac:dyDescent="0.2">
      <c r="A124" s="351">
        <v>120</v>
      </c>
      <c r="B124" s="352" t="s">
        <v>928</v>
      </c>
      <c r="C124" s="352" t="s">
        <v>1071</v>
      </c>
      <c r="D124" s="353">
        <v>5440423</v>
      </c>
      <c r="E124" s="353">
        <v>996000</v>
      </c>
      <c r="F124" s="352" t="s">
        <v>425</v>
      </c>
      <c r="G124" s="352" t="s">
        <v>425</v>
      </c>
      <c r="H124" s="354">
        <v>0.63400000000000001</v>
      </c>
      <c r="I124" s="369">
        <v>53837.4</v>
      </c>
    </row>
    <row r="125" spans="1:13" ht="18.75" customHeight="1" x14ac:dyDescent="0.2">
      <c r="A125" s="351">
        <v>121</v>
      </c>
      <c r="B125" s="352" t="s">
        <v>928</v>
      </c>
      <c r="C125" s="352" t="s">
        <v>1140</v>
      </c>
      <c r="D125" s="353">
        <v>5515992</v>
      </c>
      <c r="E125" s="353">
        <v>996000</v>
      </c>
      <c r="F125" s="352" t="s">
        <v>425</v>
      </c>
      <c r="G125" s="352" t="s">
        <v>425</v>
      </c>
      <c r="H125" s="354">
        <v>0.308</v>
      </c>
      <c r="I125" s="369">
        <v>55999.27</v>
      </c>
    </row>
    <row r="126" spans="1:13" ht="18.75" customHeight="1" x14ac:dyDescent="0.2">
      <c r="A126" s="351">
        <v>122</v>
      </c>
      <c r="B126" s="352" t="s">
        <v>928</v>
      </c>
      <c r="C126" s="352" t="s">
        <v>1141</v>
      </c>
      <c r="D126" s="353">
        <v>5688223</v>
      </c>
      <c r="E126" s="353">
        <v>996000</v>
      </c>
      <c r="F126" s="352" t="s">
        <v>425</v>
      </c>
      <c r="G126" s="352" t="s">
        <v>425</v>
      </c>
      <c r="H126" s="354">
        <v>0.60299999999999998</v>
      </c>
      <c r="I126" s="369">
        <v>78939.59</v>
      </c>
    </row>
    <row r="127" spans="1:13" ht="18.75" customHeight="1" x14ac:dyDescent="0.2">
      <c r="A127" s="351">
        <v>123</v>
      </c>
      <c r="B127" s="352" t="s">
        <v>928</v>
      </c>
      <c r="C127" s="352" t="s">
        <v>1142</v>
      </c>
      <c r="D127" s="353">
        <v>5934536</v>
      </c>
      <c r="E127" s="353">
        <v>996000</v>
      </c>
      <c r="F127" s="352" t="s">
        <v>425</v>
      </c>
      <c r="G127" s="352" t="s">
        <v>425</v>
      </c>
      <c r="H127" s="354">
        <v>0.50700000000000001</v>
      </c>
      <c r="I127" s="369">
        <v>46334.71</v>
      </c>
      <c r="M127" s="375">
        <f>I130</f>
        <v>9843058.0199999996</v>
      </c>
    </row>
    <row r="128" spans="1:13" ht="18.75" customHeight="1" x14ac:dyDescent="0.2">
      <c r="A128" s="351">
        <v>124</v>
      </c>
      <c r="B128" s="352" t="s">
        <v>1087</v>
      </c>
      <c r="C128" s="352" t="s">
        <v>1143</v>
      </c>
      <c r="D128" s="353">
        <v>5625919</v>
      </c>
      <c r="E128" s="353">
        <v>996000</v>
      </c>
      <c r="F128" s="352" t="s">
        <v>425</v>
      </c>
      <c r="G128" s="352" t="s">
        <v>425</v>
      </c>
      <c r="H128" s="354">
        <v>0.36499999999999999</v>
      </c>
      <c r="I128" s="369">
        <v>61916.75</v>
      </c>
      <c r="M128" s="376" t="e">
        <f>#REF!</f>
        <v>#REF!</v>
      </c>
    </row>
    <row r="129" spans="1:13" ht="18.75" customHeight="1" x14ac:dyDescent="0.2">
      <c r="A129" s="351">
        <v>125</v>
      </c>
      <c r="B129" s="352" t="s">
        <v>955</v>
      </c>
      <c r="C129" s="352" t="s">
        <v>1144</v>
      </c>
      <c r="D129" s="353">
        <v>2013203</v>
      </c>
      <c r="E129" s="353">
        <v>996000</v>
      </c>
      <c r="F129" s="352" t="s">
        <v>425</v>
      </c>
      <c r="G129" s="352" t="s">
        <v>425</v>
      </c>
      <c r="H129" s="354">
        <v>0.42299999999999999</v>
      </c>
      <c r="I129" s="369">
        <v>31790.95</v>
      </c>
      <c r="M129" s="376" t="e">
        <f>#REF!</f>
        <v>#REF!</v>
      </c>
    </row>
    <row r="130" spans="1:13" ht="18.75" x14ac:dyDescent="0.2">
      <c r="A130" s="351"/>
      <c r="B130" s="356" t="s">
        <v>143</v>
      </c>
      <c r="C130" s="357"/>
      <c r="D130" s="358"/>
      <c r="E130" s="358"/>
      <c r="F130" s="357"/>
      <c r="G130" s="357"/>
      <c r="H130" s="359"/>
      <c r="I130" s="371">
        <f>SUM(I4:I129)</f>
        <v>9843058.0199999996</v>
      </c>
    </row>
    <row r="131" spans="1:13" x14ac:dyDescent="0.2">
      <c r="A131" s="351"/>
      <c r="B131" s="357"/>
      <c r="C131" s="357"/>
      <c r="D131" s="358"/>
      <c r="E131" s="358"/>
      <c r="F131" s="357"/>
      <c r="G131" s="357"/>
      <c r="H131" s="359"/>
      <c r="I131" s="372"/>
    </row>
    <row r="132" spans="1:13" ht="27" customHeight="1" x14ac:dyDescent="0.2">
      <c r="A132" s="351"/>
      <c r="B132" s="356" t="s">
        <v>143</v>
      </c>
      <c r="C132" s="356" t="s">
        <v>1145</v>
      </c>
      <c r="D132" s="361"/>
      <c r="E132" s="361"/>
      <c r="F132" s="356"/>
      <c r="G132" s="356"/>
      <c r="H132" s="360"/>
      <c r="I132" s="371">
        <f>SUM(I77:I129)</f>
        <v>3120692.7099999995</v>
      </c>
      <c r="M132" s="375" t="e">
        <f>SUM(M127:M131)</f>
        <v>#REF!</v>
      </c>
    </row>
    <row r="133" spans="1:13" ht="18.75" x14ac:dyDescent="0.2">
      <c r="A133" s="351"/>
      <c r="B133" s="362"/>
      <c r="C133" s="362"/>
      <c r="D133" s="363"/>
      <c r="E133" s="363"/>
      <c r="F133" s="362"/>
      <c r="G133" s="362"/>
      <c r="H133" s="364"/>
      <c r="I133" s="373"/>
    </row>
    <row r="134" spans="1:13" ht="18.75" x14ac:dyDescent="0.2">
      <c r="A134" s="351"/>
      <c r="B134" s="362" t="s">
        <v>143</v>
      </c>
      <c r="C134" s="362" t="s">
        <v>1146</v>
      </c>
      <c r="D134" s="363"/>
      <c r="E134" s="363"/>
      <c r="F134" s="362"/>
      <c r="G134" s="362"/>
      <c r="H134" s="364"/>
      <c r="I134" s="371">
        <f>SUM(I4:I76)</f>
        <v>6722365.3099999996</v>
      </c>
    </row>
  </sheetData>
  <mergeCells count="2">
    <mergeCell ref="A1:I1"/>
    <mergeCell ref="A2:I2"/>
  </mergeCells>
  <phoneticPr fontId="40" type="noConversion"/>
  <pageMargins left="0.43307086614173229" right="0.62992125984251968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292"/>
  <sheetViews>
    <sheetView showGridLines="0" rightToLeft="1" view="pageBreakPreview" zoomScale="138" zoomScaleNormal="115" zoomScaleSheetLayoutView="138" zoomScalePageLayoutView="150" workbookViewId="0">
      <selection activeCell="C3" sqref="C3"/>
    </sheetView>
  </sheetViews>
  <sheetFormatPr defaultColWidth="9.140625" defaultRowHeight="12.75" x14ac:dyDescent="0.2"/>
  <cols>
    <col min="1" max="1" width="9.140625" style="493"/>
    <col min="2" max="2" width="11.5703125" style="662" bestFit="1" customWidth="1"/>
    <col min="3" max="3" width="35.42578125" style="663" customWidth="1"/>
    <col min="4" max="4" width="10.85546875" style="494" customWidth="1"/>
    <col min="5" max="6" width="10.85546875" style="494" hidden="1" customWidth="1"/>
    <col min="7" max="8" width="10.85546875" style="494" customWidth="1"/>
    <col min="9" max="9" width="10.85546875" style="494" hidden="1" customWidth="1"/>
    <col min="10" max="10" width="13.7109375" style="494" hidden="1" customWidth="1"/>
    <col min="11" max="11" width="16.85546875" style="957" hidden="1" customWidth="1"/>
    <col min="12" max="12" width="16.85546875" style="967" hidden="1" customWidth="1"/>
    <col min="13" max="15" width="0" style="493" hidden="1" customWidth="1"/>
    <col min="16" max="16" width="13" style="493" hidden="1" customWidth="1"/>
    <col min="17" max="17" width="16.140625" style="493" bestFit="1" customWidth="1"/>
    <col min="18" max="18" width="11.5703125" style="493" bestFit="1" customWidth="1"/>
    <col min="19" max="19" width="11.5703125" style="493" customWidth="1"/>
    <col min="20" max="20" width="0" style="493" hidden="1" customWidth="1"/>
    <col min="21" max="16384" width="9.140625" style="493"/>
  </cols>
  <sheetData>
    <row r="1" spans="2:23" ht="29.25" customHeight="1" x14ac:dyDescent="0.2">
      <c r="B1" s="713" t="s">
        <v>539</v>
      </c>
      <c r="C1" s="713" t="s">
        <v>1147</v>
      </c>
      <c r="D1" s="714" t="s">
        <v>541</v>
      </c>
      <c r="E1" s="472" t="s">
        <v>65</v>
      </c>
      <c r="F1" s="472" t="s">
        <v>1781</v>
      </c>
      <c r="G1" s="887" t="s">
        <v>65</v>
      </c>
      <c r="H1" s="819" t="s">
        <v>1148</v>
      </c>
      <c r="I1" s="714" t="s">
        <v>65</v>
      </c>
      <c r="J1" s="714" t="s">
        <v>65</v>
      </c>
      <c r="K1" s="947" t="s">
        <v>1850</v>
      </c>
      <c r="L1" s="963"/>
      <c r="P1" s="1106" t="s">
        <v>2051</v>
      </c>
      <c r="Q1" s="1106" t="s">
        <v>3139</v>
      </c>
      <c r="R1" s="1107" t="s">
        <v>113</v>
      </c>
      <c r="S1" s="1107" t="s">
        <v>2052</v>
      </c>
      <c r="T1" s="1107"/>
    </row>
    <row r="2" spans="2:23" s="509" customFormat="1" ht="15.6" customHeight="1" x14ac:dyDescent="0.2">
      <c r="B2" s="715" t="s">
        <v>1149</v>
      </c>
      <c r="C2" s="716" t="s">
        <v>544</v>
      </c>
      <c r="D2" s="714" t="s">
        <v>3272</v>
      </c>
      <c r="E2" s="886" t="s">
        <v>1786</v>
      </c>
      <c r="F2" s="886" t="s">
        <v>1787</v>
      </c>
      <c r="G2" s="472" t="s">
        <v>545</v>
      </c>
      <c r="H2" s="714" t="s">
        <v>547</v>
      </c>
      <c r="I2" s="714" t="s">
        <v>1847</v>
      </c>
      <c r="J2" s="714" t="s">
        <v>548</v>
      </c>
      <c r="K2" s="714" t="s">
        <v>547</v>
      </c>
      <c r="L2" s="965"/>
      <c r="P2" s="714" t="s">
        <v>547</v>
      </c>
      <c r="Q2" s="714" t="s">
        <v>547</v>
      </c>
      <c r="R2" s="714" t="s">
        <v>548</v>
      </c>
      <c r="S2" s="714" t="s">
        <v>2076</v>
      </c>
    </row>
    <row r="3" spans="2:23" ht="15.6" customHeight="1" x14ac:dyDescent="0.25">
      <c r="B3" s="665">
        <v>111100.1</v>
      </c>
      <c r="C3" s="666" t="s">
        <v>1150</v>
      </c>
      <c r="D3" s="667">
        <v>10800000</v>
      </c>
      <c r="E3" s="667">
        <v>8164508</v>
      </c>
      <c r="F3" s="667">
        <f>G3-E3</f>
        <v>2635492</v>
      </c>
      <c r="G3" s="667">
        <f>D3</f>
        <v>10800000</v>
      </c>
      <c r="H3" s="667">
        <v>13360750</v>
      </c>
      <c r="I3" s="667">
        <f>-VLOOKUP(C3,'הכנסות לשלפה'!$C$1:$H$246,4,FALSE)</f>
        <v>5864712.1799999997</v>
      </c>
      <c r="J3" s="667">
        <v>14122350</v>
      </c>
      <c r="K3" s="948">
        <v>13360750</v>
      </c>
      <c r="L3" s="964"/>
      <c r="M3" s="493">
        <v>13360750</v>
      </c>
      <c r="N3" s="514">
        <f>K3-H3</f>
        <v>0</v>
      </c>
      <c r="P3" s="516">
        <v>8083184</v>
      </c>
      <c r="Q3" s="516">
        <v>12401476</v>
      </c>
      <c r="R3" s="1050">
        <f>13529000+500000+11000</f>
        <v>14040000</v>
      </c>
      <c r="S3" s="1050">
        <v>14600000</v>
      </c>
      <c r="T3" s="1127"/>
      <c r="U3" s="1127"/>
      <c r="V3" s="1127"/>
      <c r="W3" s="1127"/>
    </row>
    <row r="4" spans="2:23" ht="15.6" customHeight="1" x14ac:dyDescent="0.25">
      <c r="B4" s="665">
        <v>111200.1</v>
      </c>
      <c r="C4" s="666" t="s">
        <v>1151</v>
      </c>
      <c r="D4" s="667">
        <v>3000000</v>
      </c>
      <c r="E4" s="667">
        <v>2774538</v>
      </c>
      <c r="F4" s="667">
        <f>G4-E4</f>
        <v>225462</v>
      </c>
      <c r="G4" s="667">
        <f>D4</f>
        <v>3000000</v>
      </c>
      <c r="H4" s="667">
        <v>3000000</v>
      </c>
      <c r="I4" s="667">
        <f>-VLOOKUP(C4,'הכנסות לשלפה'!$C$1:$H$246,4,FALSE)</f>
        <v>1280590.18</v>
      </c>
      <c r="J4" s="667">
        <v>3000000</v>
      </c>
      <c r="K4" s="948">
        <v>3000000</v>
      </c>
      <c r="L4" s="964"/>
      <c r="M4" s="493">
        <v>3000000</v>
      </c>
      <c r="N4" s="514">
        <f t="shared" ref="N4:N81" si="0">K4-H4</f>
        <v>0</v>
      </c>
      <c r="P4" s="516">
        <v>1825621</v>
      </c>
      <c r="Q4" s="516">
        <v>2209669</v>
      </c>
      <c r="R4" s="1050">
        <f>3000000-323000-400000+200000</f>
        <v>2477000</v>
      </c>
      <c r="S4" s="1050">
        <f>2500000-23000</f>
        <v>2477000</v>
      </c>
    </row>
    <row r="5" spans="2:23" ht="15.6" customHeight="1" x14ac:dyDescent="0.25">
      <c r="B5" s="665">
        <v>111300.1</v>
      </c>
      <c r="C5" s="666" t="s">
        <v>3219</v>
      </c>
      <c r="D5" s="667"/>
      <c r="E5" s="667"/>
      <c r="F5" s="667"/>
      <c r="G5" s="667"/>
      <c r="H5" s="667"/>
      <c r="I5" s="667"/>
      <c r="J5" s="667"/>
      <c r="K5" s="948"/>
      <c r="L5" s="964"/>
      <c r="N5" s="514"/>
      <c r="P5" s="516"/>
      <c r="Q5" s="516"/>
      <c r="R5" s="1050">
        <v>600000</v>
      </c>
      <c r="S5" s="1050">
        <v>800000</v>
      </c>
    </row>
    <row r="6" spans="2:23" s="407" customFormat="1" ht="15.6" customHeight="1" x14ac:dyDescent="0.25">
      <c r="B6" s="668"/>
      <c r="C6" s="669" t="s">
        <v>1152</v>
      </c>
      <c r="D6" s="670">
        <f t="shared" ref="D6:G6" si="1">SUM(D3:D4)</f>
        <v>13800000</v>
      </c>
      <c r="E6" s="670">
        <f t="shared" si="1"/>
        <v>10939046</v>
      </c>
      <c r="F6" s="670">
        <f t="shared" si="1"/>
        <v>2860954</v>
      </c>
      <c r="G6" s="670">
        <f t="shared" si="1"/>
        <v>13800000</v>
      </c>
      <c r="H6" s="670">
        <f>SUM(H3:H4)</f>
        <v>16360750</v>
      </c>
      <c r="I6" s="670">
        <f>SUM(I3:I4)</f>
        <v>7145302.3599999994</v>
      </c>
      <c r="J6" s="670">
        <f t="shared" ref="J6:Q6" si="2">SUM(J3:J4)</f>
        <v>17122350</v>
      </c>
      <c r="K6" s="949">
        <f t="shared" si="2"/>
        <v>16360750</v>
      </c>
      <c r="L6" s="949">
        <f t="shared" si="2"/>
        <v>0</v>
      </c>
      <c r="M6" s="949">
        <f t="shared" si="2"/>
        <v>16360750</v>
      </c>
      <c r="N6" s="949">
        <f t="shared" si="2"/>
        <v>0</v>
      </c>
      <c r="O6" s="1040">
        <f t="shared" si="2"/>
        <v>0</v>
      </c>
      <c r="P6" s="1052">
        <f t="shared" si="2"/>
        <v>9908805</v>
      </c>
      <c r="Q6" s="1052">
        <f t="shared" si="2"/>
        <v>14611145</v>
      </c>
      <c r="R6" s="1052">
        <f>SUM(R3:R5)</f>
        <v>17117000</v>
      </c>
      <c r="S6" s="1052">
        <f>SUM(S3:S5)</f>
        <v>17877000</v>
      </c>
    </row>
    <row r="7" spans="2:23" ht="15.6" customHeight="1" x14ac:dyDescent="0.25">
      <c r="B7" s="665"/>
      <c r="C7" s="666"/>
      <c r="D7" s="667"/>
      <c r="E7" s="667"/>
      <c r="F7" s="667">
        <f t="shared" ref="F7:F68" si="3">E7/9*3</f>
        <v>0</v>
      </c>
      <c r="G7" s="667"/>
      <c r="H7" s="667"/>
      <c r="I7" s="667"/>
      <c r="J7" s="667"/>
      <c r="K7" s="948"/>
      <c r="L7" s="964"/>
      <c r="N7" s="514">
        <f t="shared" si="0"/>
        <v>0</v>
      </c>
      <c r="O7" s="968">
        <f t="shared" ref="O7:O83" si="4">K7-H7</f>
        <v>0</v>
      </c>
      <c r="P7" s="516"/>
      <c r="Q7" s="516"/>
      <c r="R7" s="516"/>
      <c r="S7" s="516"/>
    </row>
    <row r="8" spans="2:23" ht="15.6" customHeight="1" x14ac:dyDescent="0.25">
      <c r="B8" s="665">
        <v>115000.1</v>
      </c>
      <c r="C8" s="666" t="s">
        <v>1153</v>
      </c>
      <c r="D8" s="667">
        <v>4270000</v>
      </c>
      <c r="E8" s="667">
        <v>3736606</v>
      </c>
      <c r="F8" s="667">
        <f>G8-E8</f>
        <v>533394</v>
      </c>
      <c r="G8" s="667">
        <f>D8</f>
        <v>4270000</v>
      </c>
      <c r="H8" s="667">
        <v>4270000</v>
      </c>
      <c r="I8" s="667">
        <f>-VLOOKUP(C8,'הכנסות לשלפה'!$C$1:$H$246,4,FALSE)</f>
        <v>1790769</v>
      </c>
      <c r="J8" s="667">
        <v>4270000</v>
      </c>
      <c r="K8" s="948">
        <v>4570000</v>
      </c>
      <c r="L8" s="964"/>
      <c r="M8" s="493">
        <v>4270000</v>
      </c>
      <c r="N8" s="514">
        <f t="shared" si="0"/>
        <v>300000</v>
      </c>
      <c r="O8" s="968">
        <f t="shared" si="4"/>
        <v>300000</v>
      </c>
      <c r="P8" s="516">
        <v>3912445</v>
      </c>
      <c r="Q8" s="516">
        <v>5283882</v>
      </c>
      <c r="R8" s="1050">
        <v>5284000</v>
      </c>
      <c r="S8" s="1050">
        <v>5400000</v>
      </c>
    </row>
    <row r="9" spans="2:23" s="407" customFormat="1" ht="15.6" customHeight="1" x14ac:dyDescent="0.25">
      <c r="B9" s="668"/>
      <c r="C9" s="669" t="s">
        <v>1154</v>
      </c>
      <c r="D9" s="670">
        <f>SUM(D8:D8)</f>
        <v>4270000</v>
      </c>
      <c r="E9" s="670">
        <f t="shared" ref="E9:J9" si="5">SUM(E8:E8)</f>
        <v>3736606</v>
      </c>
      <c r="F9" s="670">
        <f t="shared" si="5"/>
        <v>533394</v>
      </c>
      <c r="G9" s="670">
        <f t="shared" si="5"/>
        <v>4270000</v>
      </c>
      <c r="H9" s="670">
        <f t="shared" si="5"/>
        <v>4270000</v>
      </c>
      <c r="I9" s="670">
        <f t="shared" si="5"/>
        <v>1790769</v>
      </c>
      <c r="J9" s="670">
        <f t="shared" si="5"/>
        <v>4270000</v>
      </c>
      <c r="K9" s="949">
        <f>SUM(K8:K8)</f>
        <v>4570000</v>
      </c>
      <c r="L9" s="949">
        <f t="shared" ref="L9:S9" si="6">SUM(L8:L8)</f>
        <v>0</v>
      </c>
      <c r="M9" s="949">
        <f t="shared" si="6"/>
        <v>4270000</v>
      </c>
      <c r="N9" s="949">
        <f t="shared" si="6"/>
        <v>300000</v>
      </c>
      <c r="O9" s="1040">
        <f t="shared" si="6"/>
        <v>300000</v>
      </c>
      <c r="P9" s="1052">
        <f t="shared" si="6"/>
        <v>3912445</v>
      </c>
      <c r="Q9" s="1052">
        <f t="shared" si="6"/>
        <v>5283882</v>
      </c>
      <c r="R9" s="1052">
        <f t="shared" si="6"/>
        <v>5284000</v>
      </c>
      <c r="S9" s="1052">
        <f t="shared" si="6"/>
        <v>5400000</v>
      </c>
    </row>
    <row r="10" spans="2:23" ht="15.6" customHeight="1" x14ac:dyDescent="0.25">
      <c r="B10" s="665"/>
      <c r="C10" s="666"/>
      <c r="D10" s="667"/>
      <c r="E10" s="667"/>
      <c r="F10" s="667">
        <f t="shared" si="3"/>
        <v>0</v>
      </c>
      <c r="G10" s="667"/>
      <c r="H10" s="667"/>
      <c r="I10" s="667"/>
      <c r="J10" s="667"/>
      <c r="K10" s="948"/>
      <c r="L10" s="964"/>
      <c r="N10" s="514">
        <f t="shared" si="0"/>
        <v>0</v>
      </c>
      <c r="O10" s="968">
        <f t="shared" si="4"/>
        <v>0</v>
      </c>
      <c r="P10" s="516"/>
      <c r="Q10" s="516"/>
      <c r="R10" s="516"/>
      <c r="S10" s="516"/>
    </row>
    <row r="11" spans="2:23" s="378" customFormat="1" ht="15.6" customHeight="1" x14ac:dyDescent="0.2">
      <c r="B11" s="482" t="s">
        <v>1155</v>
      </c>
      <c r="C11" s="480" t="s">
        <v>392</v>
      </c>
      <c r="D11" s="481">
        <f>SUM(D6+D9)</f>
        <v>18070000</v>
      </c>
      <c r="E11" s="481">
        <f t="shared" ref="E11:J11" si="7">SUM(E6+E9)</f>
        <v>14675652</v>
      </c>
      <c r="F11" s="481">
        <f t="shared" si="7"/>
        <v>3394348</v>
      </c>
      <c r="G11" s="481">
        <f t="shared" si="7"/>
        <v>18070000</v>
      </c>
      <c r="H11" s="481">
        <f t="shared" si="7"/>
        <v>20630750</v>
      </c>
      <c r="I11" s="481">
        <f t="shared" si="7"/>
        <v>8936071.3599999994</v>
      </c>
      <c r="J11" s="481">
        <f t="shared" si="7"/>
        <v>21392350</v>
      </c>
      <c r="K11" s="950">
        <f>SUM(K6+K9)</f>
        <v>20930750</v>
      </c>
      <c r="L11" s="950">
        <f t="shared" ref="L11:S11" si="8">SUM(L6+L9)</f>
        <v>0</v>
      </c>
      <c r="M11" s="950">
        <f t="shared" si="8"/>
        <v>20630750</v>
      </c>
      <c r="N11" s="950">
        <f t="shared" si="8"/>
        <v>300000</v>
      </c>
      <c r="O11" s="1041">
        <f t="shared" si="8"/>
        <v>300000</v>
      </c>
      <c r="P11" s="1053">
        <f t="shared" si="8"/>
        <v>13821250</v>
      </c>
      <c r="Q11" s="1053">
        <f t="shared" si="8"/>
        <v>19895027</v>
      </c>
      <c r="R11" s="1053">
        <f t="shared" si="8"/>
        <v>22401000</v>
      </c>
      <c r="S11" s="1053">
        <f t="shared" si="8"/>
        <v>23277000</v>
      </c>
    </row>
    <row r="12" spans="2:23" ht="15.6" customHeight="1" x14ac:dyDescent="0.25">
      <c r="B12" s="671"/>
      <c r="C12" s="672"/>
      <c r="D12" s="667"/>
      <c r="E12" s="667"/>
      <c r="F12" s="667">
        <f t="shared" si="3"/>
        <v>0</v>
      </c>
      <c r="G12" s="667"/>
      <c r="H12" s="667"/>
      <c r="I12" s="667"/>
      <c r="J12" s="667"/>
      <c r="K12" s="948"/>
      <c r="L12" s="964"/>
      <c r="N12" s="514">
        <f t="shared" si="0"/>
        <v>0</v>
      </c>
      <c r="O12" s="968">
        <f t="shared" si="4"/>
        <v>0</v>
      </c>
      <c r="P12" s="516"/>
      <c r="Q12" s="516"/>
      <c r="R12" s="516"/>
      <c r="S12" s="516"/>
    </row>
    <row r="13" spans="2:23" s="408" customFormat="1" ht="15.6" customHeight="1" x14ac:dyDescent="0.25">
      <c r="B13" s="665">
        <v>121000.29</v>
      </c>
      <c r="C13" s="666" t="s">
        <v>1156</v>
      </c>
      <c r="D13" s="610">
        <v>7000</v>
      </c>
      <c r="E13" s="610">
        <v>4485</v>
      </c>
      <c r="F13" s="667">
        <f t="shared" si="3"/>
        <v>1495</v>
      </c>
      <c r="G13" s="667">
        <f t="shared" ref="G13:G82" si="9">F13+E13</f>
        <v>5980</v>
      </c>
      <c r="H13" s="610">
        <v>7000</v>
      </c>
      <c r="I13" s="667">
        <f>-VLOOKUP(C13,'הכנסות לשלפה'!$C$1:$H$246,4,FALSE)</f>
        <v>7614</v>
      </c>
      <c r="J13" s="610">
        <v>7000</v>
      </c>
      <c r="K13" s="948">
        <v>7000</v>
      </c>
      <c r="L13" s="964"/>
      <c r="M13" s="408">
        <v>7000</v>
      </c>
      <c r="N13" s="514">
        <f t="shared" si="0"/>
        <v>0</v>
      </c>
      <c r="O13" s="968">
        <f t="shared" si="4"/>
        <v>0</v>
      </c>
      <c r="P13" s="516">
        <v>8264</v>
      </c>
      <c r="Q13" s="516">
        <v>9214</v>
      </c>
      <c r="R13" s="1050">
        <v>9000</v>
      </c>
      <c r="S13" s="1050">
        <v>9000</v>
      </c>
    </row>
    <row r="14" spans="2:23" s="408" customFormat="1" ht="15.6" customHeight="1" x14ac:dyDescent="0.25">
      <c r="B14" s="665">
        <v>213300.291</v>
      </c>
      <c r="C14" s="666" t="s">
        <v>1165</v>
      </c>
      <c r="D14" s="610">
        <v>100000</v>
      </c>
      <c r="E14" s="610">
        <v>77984</v>
      </c>
      <c r="F14" s="667">
        <f t="shared" si="3"/>
        <v>25994.666666666664</v>
      </c>
      <c r="G14" s="667">
        <f t="shared" si="9"/>
        <v>103978.66666666666</v>
      </c>
      <c r="H14" s="610">
        <v>100001</v>
      </c>
      <c r="I14" s="667">
        <f>-VLOOKUP(C14,'הכנסות לשלפה'!$C$1:$H$246,4,FALSE)</f>
        <v>22538.86</v>
      </c>
      <c r="J14" s="610">
        <f>324000+36000</f>
        <v>360000</v>
      </c>
      <c r="K14" s="948">
        <v>100000</v>
      </c>
      <c r="L14" s="964"/>
      <c r="M14" s="493">
        <v>100000</v>
      </c>
      <c r="N14" s="514">
        <f t="shared" si="0"/>
        <v>-1</v>
      </c>
      <c r="O14" s="968">
        <f t="shared" si="4"/>
        <v>-1</v>
      </c>
      <c r="P14" s="516">
        <v>25237</v>
      </c>
      <c r="Q14" s="511">
        <v>1152</v>
      </c>
      <c r="R14" s="1050">
        <v>100000</v>
      </c>
      <c r="S14" s="1050">
        <v>200000</v>
      </c>
    </row>
    <row r="15" spans="2:23" s="408" customFormat="1" ht="15.6" customHeight="1" x14ac:dyDescent="0.25">
      <c r="B15" s="665">
        <v>129000.29</v>
      </c>
      <c r="C15" s="666" t="s">
        <v>1169</v>
      </c>
      <c r="D15" s="610">
        <v>220000</v>
      </c>
      <c r="E15" s="610">
        <v>209732</v>
      </c>
      <c r="F15" s="667">
        <f t="shared" ref="F15:F16" si="10">E15/9*3</f>
        <v>69910.666666666657</v>
      </c>
      <c r="G15" s="667">
        <f t="shared" ref="G15:G16" si="11">F15+E15</f>
        <v>279642.66666666663</v>
      </c>
      <c r="H15" s="610">
        <v>220000</v>
      </c>
      <c r="I15" s="667">
        <f>-VLOOKUP(C15,'הכנסות לשלפה'!$C$1:$H$246,4,FALSE)</f>
        <v>188180.15</v>
      </c>
      <c r="J15" s="610">
        <v>220000</v>
      </c>
      <c r="K15" s="948">
        <v>220000</v>
      </c>
      <c r="L15" s="964"/>
      <c r="M15" s="493">
        <v>220000</v>
      </c>
      <c r="N15" s="514">
        <f t="shared" ref="N15:N16" si="12">K15-H15</f>
        <v>0</v>
      </c>
      <c r="O15" s="968">
        <f t="shared" ref="O15:O16" si="13">K15-H15</f>
        <v>0</v>
      </c>
      <c r="P15" s="516">
        <v>167165</v>
      </c>
      <c r="Q15" s="516">
        <v>508407</v>
      </c>
      <c r="R15" s="1050">
        <v>500000</v>
      </c>
      <c r="S15" s="1050">
        <v>500000</v>
      </c>
    </row>
    <row r="16" spans="2:23" s="408" customFormat="1" ht="15.6" customHeight="1" x14ac:dyDescent="0.25">
      <c r="B16" s="665">
        <v>129100.29</v>
      </c>
      <c r="C16" s="666" t="s">
        <v>1170</v>
      </c>
      <c r="D16" s="610">
        <v>0</v>
      </c>
      <c r="E16" s="610">
        <v>0</v>
      </c>
      <c r="F16" s="667">
        <f t="shared" si="10"/>
        <v>0</v>
      </c>
      <c r="G16" s="667">
        <f t="shared" si="11"/>
        <v>0</v>
      </c>
      <c r="H16" s="610">
        <v>20000</v>
      </c>
      <c r="I16" s="667">
        <f>-VLOOKUP(C16,'הכנסות לשלפה'!$C$1:$H$246,4,FALSE)</f>
        <v>0</v>
      </c>
      <c r="J16" s="610">
        <v>40000</v>
      </c>
      <c r="K16" s="948">
        <v>20000</v>
      </c>
      <c r="L16" s="964"/>
      <c r="M16" s="493">
        <v>20000</v>
      </c>
      <c r="N16" s="514">
        <f t="shared" si="12"/>
        <v>0</v>
      </c>
      <c r="O16" s="968">
        <f t="shared" si="13"/>
        <v>0</v>
      </c>
      <c r="P16" s="516">
        <v>0</v>
      </c>
      <c r="Q16" s="516">
        <f t="shared" ref="Q16" si="14">P16/9*12</f>
        <v>0</v>
      </c>
      <c r="R16" s="1050">
        <v>20000</v>
      </c>
      <c r="S16" s="1050">
        <v>20000</v>
      </c>
    </row>
    <row r="17" spans="2:19" s="378" customFormat="1" ht="15.6" customHeight="1" x14ac:dyDescent="0.2">
      <c r="B17" s="482" t="s">
        <v>1157</v>
      </c>
      <c r="C17" s="480" t="s">
        <v>394</v>
      </c>
      <c r="D17" s="483">
        <f>SUM(D13:D16)</f>
        <v>327000</v>
      </c>
      <c r="E17" s="483">
        <f t="shared" ref="E17:S17" si="15">SUM(E13:E16)</f>
        <v>292201</v>
      </c>
      <c r="F17" s="483">
        <f t="shared" si="15"/>
        <v>97400.333333333314</v>
      </c>
      <c r="G17" s="483">
        <f t="shared" si="15"/>
        <v>389601.33333333326</v>
      </c>
      <c r="H17" s="483">
        <f t="shared" si="15"/>
        <v>347001</v>
      </c>
      <c r="I17" s="483">
        <f t="shared" si="15"/>
        <v>218333.01</v>
      </c>
      <c r="J17" s="483">
        <f t="shared" si="15"/>
        <v>627000</v>
      </c>
      <c r="K17" s="483">
        <f t="shared" si="15"/>
        <v>347000</v>
      </c>
      <c r="L17" s="483">
        <f t="shared" si="15"/>
        <v>0</v>
      </c>
      <c r="M17" s="483">
        <f t="shared" si="15"/>
        <v>347000</v>
      </c>
      <c r="N17" s="483">
        <f t="shared" si="15"/>
        <v>-1</v>
      </c>
      <c r="O17" s="483">
        <f t="shared" si="15"/>
        <v>-1</v>
      </c>
      <c r="P17" s="483">
        <f t="shared" si="15"/>
        <v>200666</v>
      </c>
      <c r="Q17" s="483">
        <f t="shared" si="15"/>
        <v>518773</v>
      </c>
      <c r="R17" s="483">
        <f t="shared" si="15"/>
        <v>629000</v>
      </c>
      <c r="S17" s="483">
        <f t="shared" si="15"/>
        <v>729000</v>
      </c>
    </row>
    <row r="18" spans="2:19" s="408" customFormat="1" ht="15.6" customHeight="1" x14ac:dyDescent="0.25">
      <c r="B18" s="665"/>
      <c r="C18" s="666"/>
      <c r="D18" s="610"/>
      <c r="E18" s="610"/>
      <c r="F18" s="667">
        <f t="shared" si="3"/>
        <v>0</v>
      </c>
      <c r="G18" s="667"/>
      <c r="H18" s="610"/>
      <c r="I18" s="667"/>
      <c r="J18" s="610"/>
      <c r="K18" s="948">
        <f t="shared" ref="K18:K50" si="16">I18*2</f>
        <v>0</v>
      </c>
      <c r="L18" s="964"/>
      <c r="N18" s="514">
        <f t="shared" si="0"/>
        <v>0</v>
      </c>
      <c r="O18" s="968">
        <f t="shared" si="4"/>
        <v>0</v>
      </c>
      <c r="P18" s="862"/>
      <c r="Q18" s="862"/>
      <c r="R18" s="862"/>
      <c r="S18" s="862"/>
    </row>
    <row r="19" spans="2:19" ht="15.6" customHeight="1" x14ac:dyDescent="0.25">
      <c r="B19" s="665">
        <v>191000.91</v>
      </c>
      <c r="C19" s="666" t="s">
        <v>1158</v>
      </c>
      <c r="D19" s="610">
        <f>11296000*0.85</f>
        <v>9601600</v>
      </c>
      <c r="E19" s="610">
        <v>8801315</v>
      </c>
      <c r="F19" s="667">
        <f>E19/11*1</f>
        <v>800119.54545454541</v>
      </c>
      <c r="G19" s="667">
        <f t="shared" si="9"/>
        <v>9601434.5454545449</v>
      </c>
      <c r="H19" s="610">
        <f>10788000*0.85</f>
        <v>9169800</v>
      </c>
      <c r="I19" s="667">
        <v>4688010</v>
      </c>
      <c r="J19" s="610">
        <f>10788000*0.85</f>
        <v>9169800</v>
      </c>
      <c r="K19" s="948">
        <v>9169800</v>
      </c>
      <c r="L19" s="964"/>
      <c r="M19" s="514">
        <f>H19+1000000</f>
        <v>10169800</v>
      </c>
      <c r="N19" s="514">
        <f t="shared" si="0"/>
        <v>0</v>
      </c>
      <c r="O19" s="968">
        <f t="shared" si="4"/>
        <v>0</v>
      </c>
      <c r="P19" s="516">
        <f>7831186+50000</f>
        <v>7881186</v>
      </c>
      <c r="Q19" s="516">
        <v>10458711</v>
      </c>
      <c r="R19" s="1050">
        <v>10545950</v>
      </c>
      <c r="S19" s="1050">
        <v>10545950</v>
      </c>
    </row>
    <row r="20" spans="2:19" ht="15.6" customHeight="1" x14ac:dyDescent="0.25">
      <c r="B20" s="665">
        <v>191000.92</v>
      </c>
      <c r="C20" s="666" t="s">
        <v>1159</v>
      </c>
      <c r="D20" s="610">
        <v>1694400</v>
      </c>
      <c r="E20" s="610">
        <v>1282856</v>
      </c>
      <c r="F20" s="667">
        <f>E20/11*1</f>
        <v>116623.27272727272</v>
      </c>
      <c r="G20" s="667">
        <f t="shared" si="9"/>
        <v>1399479.2727272727</v>
      </c>
      <c r="H20" s="610">
        <f>10788000*0.15</f>
        <v>1618200</v>
      </c>
      <c r="I20" s="667">
        <f>-VLOOKUP(C20,'הכנסות לשלפה'!$C$1:$H$246,4,FALSE)</f>
        <v>564817</v>
      </c>
      <c r="J20" s="610">
        <f>10788000*0.15</f>
        <v>1618200</v>
      </c>
      <c r="K20" s="948">
        <v>1618200</v>
      </c>
      <c r="L20" s="964"/>
      <c r="M20" s="493">
        <v>1618200</v>
      </c>
      <c r="N20" s="514">
        <f t="shared" si="0"/>
        <v>0</v>
      </c>
      <c r="O20" s="968">
        <f t="shared" si="4"/>
        <v>0</v>
      </c>
      <c r="P20" s="516">
        <v>564817</v>
      </c>
      <c r="Q20" s="516">
        <v>2947582</v>
      </c>
      <c r="R20" s="1050">
        <v>1861000</v>
      </c>
      <c r="S20" s="1050">
        <v>1861000</v>
      </c>
    </row>
    <row r="21" spans="2:19" ht="15.6" customHeight="1" x14ac:dyDescent="0.25">
      <c r="B21" s="665">
        <v>191100.91</v>
      </c>
      <c r="C21" s="666" t="s">
        <v>1160</v>
      </c>
      <c r="D21" s="610">
        <v>711500</v>
      </c>
      <c r="E21" s="610">
        <v>529735</v>
      </c>
      <c r="F21" s="667">
        <f t="shared" si="3"/>
        <v>176578.33333333334</v>
      </c>
      <c r="G21" s="667">
        <f t="shared" si="9"/>
        <v>706313.33333333337</v>
      </c>
      <c r="H21" s="667">
        <f>'הוצאות '!I83*0.7</f>
        <v>1042999.9999999999</v>
      </c>
      <c r="I21" s="667">
        <v>518500</v>
      </c>
      <c r="J21" s="667">
        <f>'הוצאות '!K83*0.7</f>
        <v>1043599.2</v>
      </c>
      <c r="K21" s="948">
        <f t="shared" si="16"/>
        <v>1037000</v>
      </c>
      <c r="L21" s="964"/>
      <c r="N21" s="514">
        <f t="shared" si="0"/>
        <v>-5999.9999999998836</v>
      </c>
      <c r="O21" s="968">
        <f t="shared" si="4"/>
        <v>-5999.9999999998836</v>
      </c>
      <c r="P21" s="516">
        <v>1005805</v>
      </c>
      <c r="Q21" s="516">
        <v>1687659</v>
      </c>
      <c r="R21" s="1050">
        <f>20000+323000</f>
        <v>343000</v>
      </c>
      <c r="S21" s="1050">
        <f>20000+323000</f>
        <v>343000</v>
      </c>
    </row>
    <row r="22" spans="2:19" s="378" customFormat="1" ht="15" customHeight="1" x14ac:dyDescent="0.2">
      <c r="B22" s="482" t="s">
        <v>1161</v>
      </c>
      <c r="C22" s="480" t="s">
        <v>1158</v>
      </c>
      <c r="D22" s="483">
        <f t="shared" ref="D22:S22" si="17">SUM(D19:D21)</f>
        <v>12007500</v>
      </c>
      <c r="E22" s="483">
        <f t="shared" si="17"/>
        <v>10613906</v>
      </c>
      <c r="F22" s="483">
        <f t="shared" si="17"/>
        <v>1093321.1515151514</v>
      </c>
      <c r="G22" s="483">
        <f t="shared" si="17"/>
        <v>11707227.151515152</v>
      </c>
      <c r="H22" s="483">
        <f t="shared" si="17"/>
        <v>11831000</v>
      </c>
      <c r="I22" s="483">
        <f t="shared" si="17"/>
        <v>5771327</v>
      </c>
      <c r="J22" s="483">
        <f t="shared" si="17"/>
        <v>11831599.199999999</v>
      </c>
      <c r="K22" s="951">
        <f t="shared" si="17"/>
        <v>11825000</v>
      </c>
      <c r="L22" s="951">
        <f t="shared" si="17"/>
        <v>0</v>
      </c>
      <c r="M22" s="951">
        <f t="shared" si="17"/>
        <v>11788000</v>
      </c>
      <c r="N22" s="951">
        <f t="shared" si="17"/>
        <v>-5999.9999999998836</v>
      </c>
      <c r="O22" s="1042">
        <f t="shared" si="17"/>
        <v>-5999.9999999998836</v>
      </c>
      <c r="P22" s="1054">
        <f t="shared" si="17"/>
        <v>9451808</v>
      </c>
      <c r="Q22" s="1054">
        <f t="shared" si="17"/>
        <v>15093952</v>
      </c>
      <c r="R22" s="1054">
        <f t="shared" si="17"/>
        <v>12749950</v>
      </c>
      <c r="S22" s="1054">
        <f t="shared" si="17"/>
        <v>12749950</v>
      </c>
    </row>
    <row r="23" spans="2:19" ht="15.6" customHeight="1" x14ac:dyDescent="0.25">
      <c r="B23" s="665"/>
      <c r="C23" s="666"/>
      <c r="D23" s="667"/>
      <c r="E23" s="667"/>
      <c r="F23" s="667">
        <f t="shared" si="3"/>
        <v>0</v>
      </c>
      <c r="G23" s="667"/>
      <c r="H23" s="667"/>
      <c r="I23" s="667"/>
      <c r="J23" s="667"/>
      <c r="K23" s="948"/>
      <c r="L23" s="964"/>
      <c r="N23" s="514">
        <f t="shared" si="0"/>
        <v>0</v>
      </c>
      <c r="O23" s="968">
        <f t="shared" si="4"/>
        <v>0</v>
      </c>
      <c r="P23" s="516"/>
      <c r="Q23" s="516"/>
      <c r="R23" s="516"/>
      <c r="S23" s="516"/>
    </row>
    <row r="24" spans="2:19" s="409" customFormat="1" ht="18.75" customHeight="1" x14ac:dyDescent="0.2">
      <c r="B24" s="674" t="s">
        <v>1162</v>
      </c>
      <c r="C24" s="675" t="s">
        <v>1163</v>
      </c>
      <c r="D24" s="676">
        <f t="shared" ref="D24:S24" si="18">D22+D11+D17</f>
        <v>30404500</v>
      </c>
      <c r="E24" s="676">
        <f t="shared" si="18"/>
        <v>25581759</v>
      </c>
      <c r="F24" s="676">
        <f t="shared" si="18"/>
        <v>4585069.4848484844</v>
      </c>
      <c r="G24" s="676">
        <f t="shared" si="18"/>
        <v>30166828.484848484</v>
      </c>
      <c r="H24" s="676">
        <f t="shared" si="18"/>
        <v>32808751</v>
      </c>
      <c r="I24" s="676">
        <f t="shared" si="18"/>
        <v>14925731.369999999</v>
      </c>
      <c r="J24" s="676">
        <f t="shared" si="18"/>
        <v>33850949.200000003</v>
      </c>
      <c r="K24" s="952">
        <f t="shared" si="18"/>
        <v>33102750</v>
      </c>
      <c r="L24" s="952">
        <f t="shared" si="18"/>
        <v>0</v>
      </c>
      <c r="M24" s="952">
        <f t="shared" si="18"/>
        <v>32765750</v>
      </c>
      <c r="N24" s="952">
        <f t="shared" si="18"/>
        <v>293999.00000000012</v>
      </c>
      <c r="O24" s="1043">
        <f t="shared" si="18"/>
        <v>293999.00000000012</v>
      </c>
      <c r="P24" s="1055">
        <f t="shared" si="18"/>
        <v>23473724</v>
      </c>
      <c r="Q24" s="1055">
        <f t="shared" si="18"/>
        <v>35507752</v>
      </c>
      <c r="R24" s="1055">
        <f t="shared" si="18"/>
        <v>35779950</v>
      </c>
      <c r="S24" s="1055">
        <f t="shared" si="18"/>
        <v>36755950</v>
      </c>
    </row>
    <row r="25" spans="2:19" s="408" customFormat="1" ht="15.6" customHeight="1" x14ac:dyDescent="0.25">
      <c r="B25" s="677"/>
      <c r="C25" s="678"/>
      <c r="D25" s="667"/>
      <c r="E25" s="667"/>
      <c r="F25" s="667">
        <f t="shared" si="3"/>
        <v>0</v>
      </c>
      <c r="G25" s="667"/>
      <c r="H25" s="667"/>
      <c r="I25" s="667"/>
      <c r="J25" s="667"/>
      <c r="K25" s="948"/>
      <c r="L25" s="964"/>
      <c r="N25" s="514">
        <f t="shared" si="0"/>
        <v>0</v>
      </c>
      <c r="O25" s="968">
        <f t="shared" si="4"/>
        <v>0</v>
      </c>
      <c r="P25" s="862"/>
      <c r="Q25" s="862"/>
      <c r="R25" s="862"/>
      <c r="S25" s="862"/>
    </row>
    <row r="26" spans="2:19" ht="15.6" hidden="1" customHeight="1" x14ac:dyDescent="0.25">
      <c r="B26" s="665">
        <v>211000.21</v>
      </c>
      <c r="C26" s="666" t="s">
        <v>989</v>
      </c>
      <c r="D26" s="667"/>
      <c r="E26" s="667"/>
      <c r="F26" s="667"/>
      <c r="G26" s="667"/>
      <c r="H26" s="667"/>
      <c r="I26" s="667"/>
      <c r="J26" s="667"/>
      <c r="K26" s="948"/>
      <c r="L26" s="964"/>
      <c r="N26" s="514"/>
      <c r="O26" s="968"/>
      <c r="P26" s="516"/>
      <c r="Q26" s="516"/>
      <c r="R26" s="1050"/>
      <c r="S26" s="1050"/>
    </row>
    <row r="27" spans="2:19" ht="15.6" customHeight="1" x14ac:dyDescent="0.25">
      <c r="B27" s="665">
        <v>212300.29</v>
      </c>
      <c r="C27" s="666" t="s">
        <v>1164</v>
      </c>
      <c r="D27" s="667">
        <v>10000</v>
      </c>
      <c r="E27" s="667">
        <v>10200</v>
      </c>
      <c r="F27" s="667">
        <f t="shared" si="3"/>
        <v>3400</v>
      </c>
      <c r="G27" s="667">
        <f t="shared" si="9"/>
        <v>13600</v>
      </c>
      <c r="H27" s="667">
        <v>10000</v>
      </c>
      <c r="I27" s="667">
        <f>-VLOOKUP(C27,'הכנסות לשלפה'!$C$1:$H$246,4,FALSE)</f>
        <v>10400</v>
      </c>
      <c r="J27" s="667">
        <v>10000</v>
      </c>
      <c r="K27" s="948">
        <v>10000</v>
      </c>
      <c r="L27" s="964"/>
      <c r="M27" s="493">
        <v>10000</v>
      </c>
      <c r="N27" s="514">
        <f t="shared" si="0"/>
        <v>0</v>
      </c>
      <c r="O27" s="968">
        <f t="shared" si="4"/>
        <v>0</v>
      </c>
      <c r="P27" s="516">
        <v>14950</v>
      </c>
      <c r="Q27" s="516">
        <v>12800</v>
      </c>
      <c r="R27" s="1050">
        <v>10000</v>
      </c>
      <c r="S27" s="1050">
        <v>10000</v>
      </c>
    </row>
    <row r="28" spans="2:19" ht="15.6" customHeight="1" x14ac:dyDescent="0.25">
      <c r="B28" s="665">
        <v>443200.42</v>
      </c>
      <c r="C28" s="666" t="s">
        <v>3213</v>
      </c>
      <c r="D28" s="667">
        <v>0</v>
      </c>
      <c r="E28" s="667"/>
      <c r="F28" s="667"/>
      <c r="G28" s="667">
        <v>0</v>
      </c>
      <c r="H28" s="667">
        <v>0</v>
      </c>
      <c r="I28" s="667"/>
      <c r="J28" s="667"/>
      <c r="K28" s="948"/>
      <c r="L28" s="964"/>
      <c r="N28" s="514"/>
      <c r="O28" s="968"/>
      <c r="P28" s="516"/>
      <c r="Q28" s="516">
        <v>0</v>
      </c>
      <c r="R28" s="1051">
        <v>180000</v>
      </c>
      <c r="S28" s="1051">
        <v>180000</v>
      </c>
    </row>
    <row r="29" spans="2:19" ht="15.6" customHeight="1" x14ac:dyDescent="0.25">
      <c r="B29" s="665">
        <v>213300.29</v>
      </c>
      <c r="C29" s="666" t="s">
        <v>989</v>
      </c>
      <c r="D29" s="667">
        <v>10000</v>
      </c>
      <c r="E29" s="667">
        <v>0</v>
      </c>
      <c r="F29" s="667">
        <f t="shared" ref="F29" si="19">E29/9*3</f>
        <v>0</v>
      </c>
      <c r="G29" s="667">
        <f t="shared" ref="G29" si="20">F29+E29</f>
        <v>0</v>
      </c>
      <c r="H29" s="667">
        <v>10000</v>
      </c>
      <c r="I29" s="667">
        <f>-VLOOKUP(C29,'הכנסות לשלפה'!$C$1:$H$246,4,FALSE)</f>
        <v>2154</v>
      </c>
      <c r="J29" s="667">
        <v>10000</v>
      </c>
      <c r="K29" s="948">
        <v>10000</v>
      </c>
      <c r="L29" s="964"/>
      <c r="M29" s="493">
        <v>10000</v>
      </c>
      <c r="N29" s="514">
        <f t="shared" ref="N29" si="21">K29-H29</f>
        <v>0</v>
      </c>
      <c r="O29" s="968">
        <f t="shared" ref="O29" si="22">K29-H29</f>
        <v>0</v>
      </c>
      <c r="P29" s="516">
        <v>2792</v>
      </c>
      <c r="Q29" s="516">
        <v>4811</v>
      </c>
      <c r="R29" s="1050">
        <v>70000</v>
      </c>
      <c r="S29" s="1050">
        <v>70000</v>
      </c>
    </row>
    <row r="30" spans="2:19" ht="15.6" hidden="1" customHeight="1" x14ac:dyDescent="0.25">
      <c r="B30" s="665">
        <v>213300.42</v>
      </c>
      <c r="C30" s="666"/>
      <c r="D30" s="610"/>
      <c r="E30" s="610"/>
      <c r="F30" s="667"/>
      <c r="G30" s="667"/>
      <c r="H30" s="610"/>
      <c r="I30" s="667"/>
      <c r="J30" s="610"/>
      <c r="K30" s="948"/>
      <c r="L30" s="964"/>
      <c r="N30" s="514"/>
      <c r="O30" s="968"/>
      <c r="P30" s="516"/>
      <c r="Q30" s="511"/>
      <c r="R30" s="1050"/>
      <c r="S30" s="1050"/>
    </row>
    <row r="31" spans="2:19" ht="15.6" customHeight="1" x14ac:dyDescent="0.25">
      <c r="B31" s="665">
        <v>214300.22</v>
      </c>
      <c r="C31" s="666" t="s">
        <v>1166</v>
      </c>
      <c r="D31" s="667">
        <v>13815</v>
      </c>
      <c r="E31" s="667">
        <v>15824</v>
      </c>
      <c r="F31" s="667">
        <f t="shared" si="3"/>
        <v>5274.6666666666661</v>
      </c>
      <c r="G31" s="667">
        <f t="shared" si="9"/>
        <v>21098.666666666664</v>
      </c>
      <c r="H31" s="667">
        <v>13815</v>
      </c>
      <c r="I31" s="667">
        <v>10785</v>
      </c>
      <c r="J31" s="667">
        <v>13815</v>
      </c>
      <c r="K31" s="948">
        <v>13815</v>
      </c>
      <c r="L31" s="964"/>
      <c r="M31" s="493">
        <v>13815</v>
      </c>
      <c r="N31" s="514">
        <f t="shared" si="0"/>
        <v>0</v>
      </c>
      <c r="O31" s="968">
        <f t="shared" si="4"/>
        <v>0</v>
      </c>
      <c r="P31" s="516">
        <v>12845</v>
      </c>
      <c r="Q31" s="516">
        <v>15855</v>
      </c>
      <c r="R31" s="1050">
        <v>16000</v>
      </c>
      <c r="S31" s="1050">
        <v>16000</v>
      </c>
    </row>
    <row r="32" spans="2:19" ht="15.6" customHeight="1" x14ac:dyDescent="0.25">
      <c r="B32" s="668" t="s">
        <v>1167</v>
      </c>
      <c r="C32" s="669" t="s">
        <v>1168</v>
      </c>
      <c r="D32" s="670">
        <f>SUM(D26:D31)</f>
        <v>33815</v>
      </c>
      <c r="E32" s="670">
        <f t="shared" ref="E32:S32" si="23">SUM(E26:E31)</f>
        <v>26024</v>
      </c>
      <c r="F32" s="670">
        <f t="shared" si="23"/>
        <v>8674.6666666666661</v>
      </c>
      <c r="G32" s="670">
        <f t="shared" si="23"/>
        <v>34698.666666666664</v>
      </c>
      <c r="H32" s="670">
        <f t="shared" si="23"/>
        <v>33815</v>
      </c>
      <c r="I32" s="670">
        <f t="shared" si="23"/>
        <v>23339</v>
      </c>
      <c r="J32" s="670">
        <f t="shared" si="23"/>
        <v>33815</v>
      </c>
      <c r="K32" s="949">
        <f t="shared" si="23"/>
        <v>33815</v>
      </c>
      <c r="L32" s="949">
        <f t="shared" si="23"/>
        <v>0</v>
      </c>
      <c r="M32" s="949">
        <f t="shared" si="23"/>
        <v>33815</v>
      </c>
      <c r="N32" s="949">
        <f t="shared" si="23"/>
        <v>0</v>
      </c>
      <c r="O32" s="1040">
        <f t="shared" si="23"/>
        <v>0</v>
      </c>
      <c r="P32" s="1052">
        <f t="shared" si="23"/>
        <v>30587</v>
      </c>
      <c r="Q32" s="1052">
        <f t="shared" si="23"/>
        <v>33466</v>
      </c>
      <c r="R32" s="1052">
        <f t="shared" si="23"/>
        <v>276000</v>
      </c>
      <c r="S32" s="1052">
        <f t="shared" si="23"/>
        <v>276000</v>
      </c>
    </row>
    <row r="33" spans="2:19" ht="15.6" customHeight="1" x14ac:dyDescent="0.25">
      <c r="B33" s="668"/>
      <c r="C33" s="669"/>
      <c r="D33" s="670"/>
      <c r="E33" s="670"/>
      <c r="F33" s="667">
        <f t="shared" si="3"/>
        <v>0</v>
      </c>
      <c r="G33" s="667"/>
      <c r="H33" s="670"/>
      <c r="I33" s="667"/>
      <c r="J33" s="670"/>
      <c r="K33" s="948"/>
      <c r="L33" s="964"/>
      <c r="N33" s="514">
        <f t="shared" si="0"/>
        <v>0</v>
      </c>
      <c r="O33" s="968">
        <f t="shared" si="4"/>
        <v>0</v>
      </c>
      <c r="P33" s="516"/>
      <c r="Q33" s="516"/>
      <c r="R33" s="516"/>
      <c r="S33" s="516"/>
    </row>
    <row r="34" spans="2:19" ht="15.6" hidden="1" customHeight="1" x14ac:dyDescent="0.25">
      <c r="B34" s="665"/>
      <c r="C34" s="666"/>
      <c r="D34" s="610"/>
      <c r="E34" s="610"/>
      <c r="F34" s="667"/>
      <c r="G34" s="667"/>
      <c r="H34" s="610"/>
      <c r="I34" s="667"/>
      <c r="J34" s="610"/>
      <c r="K34" s="948"/>
      <c r="L34" s="964"/>
      <c r="N34" s="514"/>
      <c r="O34" s="968"/>
      <c r="P34" s="516"/>
      <c r="Q34" s="516"/>
      <c r="R34" s="1050"/>
      <c r="S34" s="1050"/>
    </row>
    <row r="35" spans="2:19" ht="15.6" hidden="1" customHeight="1" x14ac:dyDescent="0.25">
      <c r="B35" s="665"/>
      <c r="C35" s="666"/>
      <c r="D35" s="610"/>
      <c r="E35" s="610"/>
      <c r="F35" s="667"/>
      <c r="G35" s="667"/>
      <c r="H35" s="610"/>
      <c r="I35" s="667"/>
      <c r="J35" s="610"/>
      <c r="K35" s="948"/>
      <c r="L35" s="964"/>
      <c r="N35" s="514"/>
      <c r="O35" s="968"/>
      <c r="P35" s="516"/>
      <c r="Q35" s="516"/>
      <c r="R35" s="1050"/>
      <c r="S35" s="1050"/>
    </row>
    <row r="36" spans="2:19" ht="15.6" customHeight="1" x14ac:dyDescent="0.25">
      <c r="B36" s="665">
        <v>233100.99</v>
      </c>
      <c r="C36" s="603" t="s">
        <v>1171</v>
      </c>
      <c r="D36" s="667">
        <v>2066030</v>
      </c>
      <c r="E36" s="959">
        <v>2066030</v>
      </c>
      <c r="F36" s="667">
        <v>0</v>
      </c>
      <c r="G36" s="667">
        <f t="shared" si="9"/>
        <v>2066030</v>
      </c>
      <c r="H36" s="667">
        <v>0</v>
      </c>
      <c r="I36" s="667">
        <v>0</v>
      </c>
      <c r="J36" s="673">
        <v>0</v>
      </c>
      <c r="K36" s="948">
        <f t="shared" si="16"/>
        <v>0</v>
      </c>
      <c r="L36" s="964"/>
      <c r="N36" s="514">
        <f t="shared" si="0"/>
        <v>0</v>
      </c>
      <c r="O36" s="968">
        <f t="shared" si="4"/>
        <v>0</v>
      </c>
      <c r="P36" s="516">
        <v>0</v>
      </c>
      <c r="Q36" s="516">
        <f t="shared" ref="Q36" si="24">P36/9*12</f>
        <v>0</v>
      </c>
      <c r="R36" s="1050">
        <v>0</v>
      </c>
      <c r="S36" s="1050">
        <v>0</v>
      </c>
    </row>
    <row r="37" spans="2:19" ht="15.6" customHeight="1" x14ac:dyDescent="0.25">
      <c r="B37" s="665">
        <v>233400.71</v>
      </c>
      <c r="C37" s="603" t="s">
        <v>3229</v>
      </c>
      <c r="D37" s="667">
        <v>1111000</v>
      </c>
      <c r="E37" s="667">
        <v>781000</v>
      </c>
      <c r="F37" s="667">
        <f t="shared" si="3"/>
        <v>260333.33333333334</v>
      </c>
      <c r="G37" s="667">
        <f t="shared" si="9"/>
        <v>1041333.3333333334</v>
      </c>
      <c r="H37" s="667">
        <v>1111000</v>
      </c>
      <c r="I37" s="667">
        <v>0</v>
      </c>
      <c r="J37" s="610">
        <v>1111000</v>
      </c>
      <c r="K37" s="960">
        <v>1111000</v>
      </c>
      <c r="L37" s="964"/>
      <c r="M37" s="493" t="s">
        <v>2036</v>
      </c>
      <c r="N37" s="514">
        <f t="shared" si="0"/>
        <v>0</v>
      </c>
      <c r="O37" s="968">
        <f t="shared" si="4"/>
        <v>0</v>
      </c>
      <c r="P37" s="516">
        <v>172000</v>
      </c>
      <c r="Q37" s="516">
        <v>506000</v>
      </c>
      <c r="R37" s="1050">
        <v>800000</v>
      </c>
      <c r="S37" s="1050">
        <v>800000</v>
      </c>
    </row>
    <row r="38" spans="2:19" ht="15.6" customHeight="1" x14ac:dyDescent="0.25">
      <c r="B38" s="665">
        <v>233400.71100000001</v>
      </c>
      <c r="C38" s="603" t="s">
        <v>1173</v>
      </c>
      <c r="D38" s="667">
        <v>0</v>
      </c>
      <c r="E38" s="667">
        <v>0</v>
      </c>
      <c r="F38" s="667">
        <f t="shared" si="3"/>
        <v>0</v>
      </c>
      <c r="G38" s="667">
        <f t="shared" si="9"/>
        <v>0</v>
      </c>
      <c r="H38" s="667">
        <v>0</v>
      </c>
      <c r="I38" s="667">
        <v>0</v>
      </c>
      <c r="J38" s="610">
        <v>971000</v>
      </c>
      <c r="K38" s="960">
        <v>866000</v>
      </c>
      <c r="L38" s="964"/>
      <c r="M38" s="493" t="s">
        <v>2036</v>
      </c>
      <c r="N38" s="514">
        <f t="shared" si="0"/>
        <v>866000</v>
      </c>
      <c r="O38" s="968">
        <f t="shared" si="4"/>
        <v>866000</v>
      </c>
      <c r="P38" s="516">
        <v>866000</v>
      </c>
      <c r="Q38" s="516">
        <v>866000</v>
      </c>
      <c r="R38" s="1050">
        <v>866000</v>
      </c>
      <c r="S38" s="1050">
        <v>866000</v>
      </c>
    </row>
    <row r="39" spans="2:19" s="407" customFormat="1" ht="15.6" customHeight="1" x14ac:dyDescent="0.25">
      <c r="B39" s="668" t="s">
        <v>1174</v>
      </c>
      <c r="C39" s="669" t="s">
        <v>1175</v>
      </c>
      <c r="D39" s="670">
        <f>SUM(D34:D38)</f>
        <v>3177030</v>
      </c>
      <c r="E39" s="670">
        <f t="shared" ref="E39:S39" si="25">SUM(E34:E38)</f>
        <v>2847030</v>
      </c>
      <c r="F39" s="670">
        <f t="shared" si="25"/>
        <v>260333.33333333334</v>
      </c>
      <c r="G39" s="670">
        <f t="shared" si="25"/>
        <v>3107363.3333333335</v>
      </c>
      <c r="H39" s="670">
        <f t="shared" si="25"/>
        <v>1111000</v>
      </c>
      <c r="I39" s="670">
        <f t="shared" si="25"/>
        <v>0</v>
      </c>
      <c r="J39" s="670">
        <f t="shared" si="25"/>
        <v>2082000</v>
      </c>
      <c r="K39" s="949">
        <f t="shared" si="25"/>
        <v>1977000</v>
      </c>
      <c r="L39" s="949">
        <f t="shared" si="25"/>
        <v>0</v>
      </c>
      <c r="M39" s="949">
        <f t="shared" si="25"/>
        <v>0</v>
      </c>
      <c r="N39" s="949">
        <f t="shared" si="25"/>
        <v>866000</v>
      </c>
      <c r="O39" s="1040">
        <f t="shared" si="25"/>
        <v>866000</v>
      </c>
      <c r="P39" s="1052">
        <f t="shared" si="25"/>
        <v>1038000</v>
      </c>
      <c r="Q39" s="1052">
        <f t="shared" si="25"/>
        <v>1372000</v>
      </c>
      <c r="R39" s="1052">
        <f t="shared" si="25"/>
        <v>1666000</v>
      </c>
      <c r="S39" s="1052">
        <f t="shared" si="25"/>
        <v>1666000</v>
      </c>
    </row>
    <row r="40" spans="2:19" ht="15.6" customHeight="1" x14ac:dyDescent="0.25">
      <c r="B40" s="665"/>
      <c r="C40" s="666"/>
      <c r="D40" s="667"/>
      <c r="E40" s="667"/>
      <c r="F40" s="667">
        <f t="shared" si="3"/>
        <v>0</v>
      </c>
      <c r="G40" s="667"/>
      <c r="H40" s="667"/>
      <c r="I40" s="667"/>
      <c r="J40" s="667"/>
      <c r="K40" s="948"/>
      <c r="L40" s="964"/>
      <c r="N40" s="514">
        <f t="shared" si="0"/>
        <v>0</v>
      </c>
      <c r="O40" s="968">
        <f t="shared" si="4"/>
        <v>0</v>
      </c>
      <c r="P40" s="516"/>
      <c r="Q40" s="516"/>
      <c r="R40" s="516"/>
      <c r="S40" s="516"/>
    </row>
    <row r="41" spans="2:19" ht="15.6" customHeight="1" x14ac:dyDescent="0.25">
      <c r="B41" s="665">
        <v>241000.64</v>
      </c>
      <c r="C41" s="666" t="s">
        <v>1176</v>
      </c>
      <c r="D41" s="667">
        <v>17000</v>
      </c>
      <c r="E41" s="667">
        <v>22841</v>
      </c>
      <c r="F41" s="667">
        <f t="shared" si="3"/>
        <v>7613.6666666666661</v>
      </c>
      <c r="G41" s="667">
        <f t="shared" si="9"/>
        <v>30454.666666666664</v>
      </c>
      <c r="H41" s="667">
        <v>17000</v>
      </c>
      <c r="I41" s="667">
        <v>8900</v>
      </c>
      <c r="J41" s="667">
        <v>17000</v>
      </c>
      <c r="K41" s="948">
        <f t="shared" si="16"/>
        <v>17800</v>
      </c>
      <c r="L41" s="964"/>
      <c r="N41" s="514">
        <f t="shared" si="0"/>
        <v>800</v>
      </c>
      <c r="O41" s="968">
        <f t="shared" si="4"/>
        <v>800</v>
      </c>
      <c r="P41" s="516">
        <v>13387</v>
      </c>
      <c r="Q41" s="516">
        <f>P41/9*12</f>
        <v>17849.333333333332</v>
      </c>
      <c r="R41" s="1050">
        <v>17800</v>
      </c>
      <c r="S41" s="1050">
        <v>17800</v>
      </c>
    </row>
    <row r="42" spans="2:19" ht="15.6" customHeight="1" x14ac:dyDescent="0.25">
      <c r="B42" s="665">
        <v>244000.99</v>
      </c>
      <c r="C42" s="679" t="s">
        <v>1177</v>
      </c>
      <c r="D42" s="610">
        <f>21500+33000</f>
        <v>54500</v>
      </c>
      <c r="E42" s="610">
        <v>37478</v>
      </c>
      <c r="F42" s="667">
        <f t="shared" si="3"/>
        <v>12492.666666666668</v>
      </c>
      <c r="G42" s="667">
        <f t="shared" si="9"/>
        <v>49970.666666666672</v>
      </c>
      <c r="H42" s="610">
        <v>64500</v>
      </c>
      <c r="I42" s="667">
        <f>-VLOOKUP(C42,'הכנסות לשלפה'!$C$1:$H$246,4,FALSE)</f>
        <v>17000</v>
      </c>
      <c r="J42" s="610">
        <v>64500</v>
      </c>
      <c r="K42" s="948">
        <v>64500</v>
      </c>
      <c r="L42" s="964"/>
      <c r="M42" s="493">
        <v>64500</v>
      </c>
      <c r="N42" s="514">
        <f t="shared" si="0"/>
        <v>0</v>
      </c>
      <c r="O42" s="968">
        <f t="shared" si="4"/>
        <v>0</v>
      </c>
      <c r="P42" s="516">
        <v>17000</v>
      </c>
      <c r="Q42" s="516">
        <v>30500</v>
      </c>
      <c r="R42" s="1050">
        <v>64500</v>
      </c>
      <c r="S42" s="1050">
        <v>64500</v>
      </c>
    </row>
    <row r="43" spans="2:19" s="407" customFormat="1" ht="15.6" customHeight="1" x14ac:dyDescent="0.25">
      <c r="B43" s="668" t="s">
        <v>1178</v>
      </c>
      <c r="C43" s="669" t="s">
        <v>652</v>
      </c>
      <c r="D43" s="670">
        <f>SUM(D40:D42)</f>
        <v>71500</v>
      </c>
      <c r="E43" s="670">
        <f t="shared" ref="E43:S43" si="26">SUM(E40:E42)</f>
        <v>60319</v>
      </c>
      <c r="F43" s="670">
        <f t="shared" si="26"/>
        <v>20106.333333333336</v>
      </c>
      <c r="G43" s="670">
        <f t="shared" si="26"/>
        <v>80425.333333333343</v>
      </c>
      <c r="H43" s="670">
        <f t="shared" si="26"/>
        <v>81500</v>
      </c>
      <c r="I43" s="670">
        <f t="shared" si="26"/>
        <v>25900</v>
      </c>
      <c r="J43" s="670">
        <f t="shared" si="26"/>
        <v>81500</v>
      </c>
      <c r="K43" s="949">
        <f t="shared" si="26"/>
        <v>82300</v>
      </c>
      <c r="L43" s="949">
        <f t="shared" si="26"/>
        <v>0</v>
      </c>
      <c r="M43" s="949">
        <f t="shared" si="26"/>
        <v>64500</v>
      </c>
      <c r="N43" s="949">
        <f t="shared" si="26"/>
        <v>800</v>
      </c>
      <c r="O43" s="1040">
        <f t="shared" si="26"/>
        <v>800</v>
      </c>
      <c r="P43" s="1052">
        <f t="shared" si="26"/>
        <v>30387</v>
      </c>
      <c r="Q43" s="1052">
        <f t="shared" si="26"/>
        <v>48349.333333333328</v>
      </c>
      <c r="R43" s="1052">
        <f t="shared" si="26"/>
        <v>82300</v>
      </c>
      <c r="S43" s="1052">
        <f t="shared" si="26"/>
        <v>82300</v>
      </c>
    </row>
    <row r="44" spans="2:19" s="407" customFormat="1" ht="15.6" customHeight="1" x14ac:dyDescent="0.25">
      <c r="B44" s="665"/>
      <c r="C44" s="666"/>
      <c r="D44" s="610"/>
      <c r="E44" s="610"/>
      <c r="F44" s="667">
        <f t="shared" si="3"/>
        <v>0</v>
      </c>
      <c r="G44" s="667"/>
      <c r="H44" s="610"/>
      <c r="I44" s="667"/>
      <c r="J44" s="610"/>
      <c r="K44" s="948"/>
      <c r="L44" s="964"/>
      <c r="N44" s="514">
        <f t="shared" si="0"/>
        <v>0</v>
      </c>
      <c r="O44" s="968">
        <f t="shared" si="4"/>
        <v>0</v>
      </c>
      <c r="P44" s="1056"/>
      <c r="Q44" s="1056"/>
      <c r="R44" s="1056"/>
      <c r="S44" s="1056"/>
    </row>
    <row r="45" spans="2:19" ht="15.6" customHeight="1" x14ac:dyDescent="0.25">
      <c r="B45" s="1138">
        <v>269000.69</v>
      </c>
      <c r="C45" s="1139" t="s">
        <v>1179</v>
      </c>
      <c r="D45" s="1140">
        <v>15000</v>
      </c>
      <c r="E45" s="1140">
        <v>22102</v>
      </c>
      <c r="F45" s="1140">
        <f t="shared" si="3"/>
        <v>7367.3333333333339</v>
      </c>
      <c r="G45" s="1140">
        <f t="shared" si="9"/>
        <v>29469.333333333336</v>
      </c>
      <c r="H45" s="1140">
        <v>15000</v>
      </c>
      <c r="I45" s="1140">
        <v>19502</v>
      </c>
      <c r="J45" s="1140">
        <v>15000</v>
      </c>
      <c r="K45" s="1141">
        <v>20000</v>
      </c>
      <c r="L45" s="1142"/>
      <c r="M45" s="1143">
        <v>20000</v>
      </c>
      <c r="N45" s="1144">
        <f t="shared" si="0"/>
        <v>5000</v>
      </c>
      <c r="O45" s="1145">
        <f t="shared" si="4"/>
        <v>5000</v>
      </c>
      <c r="P45" s="752">
        <v>25200</v>
      </c>
      <c r="Q45" s="752">
        <v>28870</v>
      </c>
      <c r="R45" s="1146">
        <v>29000</v>
      </c>
      <c r="S45" s="1146">
        <v>29000</v>
      </c>
    </row>
    <row r="46" spans="2:19" ht="15.6" hidden="1" customHeight="1" x14ac:dyDescent="0.25">
      <c r="B46" s="665">
        <v>269100.69</v>
      </c>
      <c r="C46" s="666" t="s">
        <v>3140</v>
      </c>
      <c r="D46" s="667"/>
      <c r="E46" s="667"/>
      <c r="F46" s="667"/>
      <c r="G46" s="667"/>
      <c r="H46" s="667"/>
      <c r="I46" s="667"/>
      <c r="J46" s="667"/>
      <c r="K46" s="960"/>
      <c r="L46" s="964"/>
      <c r="M46" s="515"/>
      <c r="N46" s="1122"/>
      <c r="O46" s="1123"/>
      <c r="P46" s="511"/>
      <c r="Q46" s="511"/>
      <c r="R46" s="1051">
        <v>0</v>
      </c>
      <c r="S46" s="1050">
        <v>0</v>
      </c>
    </row>
    <row r="47" spans="2:19" ht="15.6" customHeight="1" x14ac:dyDescent="0.25">
      <c r="B47" s="665">
        <v>269000.69099999999</v>
      </c>
      <c r="C47" s="666" t="s">
        <v>1180</v>
      </c>
      <c r="D47" s="610">
        <v>32000</v>
      </c>
      <c r="E47" s="610">
        <v>43000</v>
      </c>
      <c r="F47" s="667">
        <f t="shared" si="3"/>
        <v>14333.333333333332</v>
      </c>
      <c r="G47" s="667">
        <f t="shared" si="9"/>
        <v>57333.333333333328</v>
      </c>
      <c r="H47" s="610">
        <v>32000</v>
      </c>
      <c r="I47" s="667">
        <v>55900</v>
      </c>
      <c r="J47" s="610">
        <v>32000</v>
      </c>
      <c r="K47" s="948">
        <v>60000</v>
      </c>
      <c r="L47" s="964"/>
      <c r="M47" s="493">
        <v>60000</v>
      </c>
      <c r="N47" s="514">
        <f t="shared" si="0"/>
        <v>28000</v>
      </c>
      <c r="O47" s="968">
        <f t="shared" si="4"/>
        <v>28000</v>
      </c>
      <c r="P47" s="516">
        <v>55900</v>
      </c>
      <c r="Q47" s="516">
        <v>41500</v>
      </c>
      <c r="R47" s="1050">
        <v>60000</v>
      </c>
      <c r="S47" s="1050">
        <v>60000</v>
      </c>
    </row>
    <row r="48" spans="2:19" ht="15.6" customHeight="1" x14ac:dyDescent="0.25">
      <c r="B48" s="1138">
        <v>269100.69</v>
      </c>
      <c r="C48" s="1139" t="s">
        <v>1181</v>
      </c>
      <c r="D48" s="1140">
        <v>257500</v>
      </c>
      <c r="E48" s="1140">
        <v>282153</v>
      </c>
      <c r="F48" s="1140">
        <f t="shared" si="3"/>
        <v>94051</v>
      </c>
      <c r="G48" s="1140">
        <f t="shared" si="9"/>
        <v>376204</v>
      </c>
      <c r="H48" s="1140">
        <v>257500</v>
      </c>
      <c r="I48" s="1140">
        <f>-VLOOKUP(C48,'הכנסות לשלפה'!$C$1:$H$246,4,FALSE)</f>
        <v>16007.9</v>
      </c>
      <c r="J48" s="1140">
        <v>257500</v>
      </c>
      <c r="K48" s="1141">
        <v>100000</v>
      </c>
      <c r="L48" s="1142"/>
      <c r="M48" s="1143">
        <v>100000</v>
      </c>
      <c r="N48" s="1144">
        <f t="shared" si="0"/>
        <v>-157500</v>
      </c>
      <c r="O48" s="1145">
        <f t="shared" si="4"/>
        <v>-157500</v>
      </c>
      <c r="P48" s="752">
        <v>261374</v>
      </c>
      <c r="Q48" s="752">
        <v>267118</v>
      </c>
      <c r="R48" s="1146">
        <v>100000</v>
      </c>
      <c r="S48" s="1146">
        <v>100000</v>
      </c>
    </row>
    <row r="49" spans="2:19" ht="15.6" customHeight="1" x14ac:dyDescent="0.25">
      <c r="B49" s="665">
        <v>214100.22</v>
      </c>
      <c r="C49" s="666" t="s">
        <v>1182</v>
      </c>
      <c r="D49" s="610">
        <v>14500</v>
      </c>
      <c r="E49" s="610">
        <v>14465</v>
      </c>
      <c r="F49" s="667">
        <f t="shared" si="3"/>
        <v>4821.6666666666661</v>
      </c>
      <c r="G49" s="667">
        <f t="shared" si="9"/>
        <v>19286.666666666664</v>
      </c>
      <c r="H49" s="610">
        <v>14500</v>
      </c>
      <c r="I49" s="667">
        <f>-VLOOKUP(C49,'הכנסות לשלפה'!$C$1:$H$246,4,FALSE)</f>
        <v>10148</v>
      </c>
      <c r="J49" s="610">
        <v>14500</v>
      </c>
      <c r="K49" s="948">
        <v>14500</v>
      </c>
      <c r="L49" s="964"/>
      <c r="M49" s="493">
        <v>14500</v>
      </c>
      <c r="N49" s="514">
        <f t="shared" si="0"/>
        <v>0</v>
      </c>
      <c r="O49" s="968">
        <f t="shared" si="4"/>
        <v>0</v>
      </c>
      <c r="P49" s="516">
        <v>10148</v>
      </c>
      <c r="Q49" s="516">
        <v>45918</v>
      </c>
      <c r="R49" s="1050">
        <v>29000</v>
      </c>
      <c r="S49" s="1050">
        <v>29000</v>
      </c>
    </row>
    <row r="50" spans="2:19" ht="15.6" customHeight="1" x14ac:dyDescent="0.25">
      <c r="B50" s="665">
        <v>269000.69199999998</v>
      </c>
      <c r="C50" s="666" t="s">
        <v>1183</v>
      </c>
      <c r="D50" s="610">
        <v>28000</v>
      </c>
      <c r="E50" s="610">
        <v>20029</v>
      </c>
      <c r="F50" s="667">
        <f t="shared" si="3"/>
        <v>6676.333333333333</v>
      </c>
      <c r="G50" s="667">
        <f t="shared" si="9"/>
        <v>26705.333333333332</v>
      </c>
      <c r="H50" s="610">
        <v>28000</v>
      </c>
      <c r="I50" s="667">
        <v>12853</v>
      </c>
      <c r="J50" s="610">
        <v>28000</v>
      </c>
      <c r="K50" s="948">
        <f t="shared" si="16"/>
        <v>25706</v>
      </c>
      <c r="L50" s="964"/>
      <c r="N50" s="514">
        <f t="shared" si="0"/>
        <v>-2294</v>
      </c>
      <c r="O50" s="968">
        <f t="shared" si="4"/>
        <v>-2294</v>
      </c>
      <c r="P50" s="516">
        <v>18703</v>
      </c>
      <c r="Q50" s="516">
        <v>32392</v>
      </c>
      <c r="R50" s="1050">
        <v>32000</v>
      </c>
      <c r="S50" s="1050">
        <v>32000</v>
      </c>
    </row>
    <row r="51" spans="2:19" s="407" customFormat="1" ht="15.6" customHeight="1" x14ac:dyDescent="0.25">
      <c r="B51" s="668" t="s">
        <v>1184</v>
      </c>
      <c r="C51" s="669" t="s">
        <v>1185</v>
      </c>
      <c r="D51" s="680">
        <f>SUM(D44:D50)</f>
        <v>347000</v>
      </c>
      <c r="E51" s="680">
        <f t="shared" ref="E51:S51" si="27">SUM(E44:E50)</f>
        <v>381749</v>
      </c>
      <c r="F51" s="680">
        <f t="shared" si="27"/>
        <v>127249.66666666666</v>
      </c>
      <c r="G51" s="680">
        <f t="shared" si="27"/>
        <v>508998.66666666663</v>
      </c>
      <c r="H51" s="680">
        <f t="shared" si="27"/>
        <v>347000</v>
      </c>
      <c r="I51" s="680">
        <f t="shared" si="27"/>
        <v>114410.9</v>
      </c>
      <c r="J51" s="680">
        <f t="shared" si="27"/>
        <v>347000</v>
      </c>
      <c r="K51" s="953">
        <f t="shared" si="27"/>
        <v>220206</v>
      </c>
      <c r="L51" s="953">
        <f t="shared" si="27"/>
        <v>0</v>
      </c>
      <c r="M51" s="953">
        <f t="shared" si="27"/>
        <v>194500</v>
      </c>
      <c r="N51" s="953">
        <f t="shared" si="27"/>
        <v>-126794</v>
      </c>
      <c r="O51" s="1044">
        <f t="shared" si="27"/>
        <v>-126794</v>
      </c>
      <c r="P51" s="1057">
        <f t="shared" si="27"/>
        <v>371325</v>
      </c>
      <c r="Q51" s="1057">
        <f t="shared" si="27"/>
        <v>415798</v>
      </c>
      <c r="R51" s="1057">
        <f t="shared" si="27"/>
        <v>250000</v>
      </c>
      <c r="S51" s="1057">
        <f t="shared" si="27"/>
        <v>250000</v>
      </c>
    </row>
    <row r="52" spans="2:19" s="407" customFormat="1" ht="15.6" hidden="1" customHeight="1" x14ac:dyDescent="0.25">
      <c r="B52" s="668"/>
      <c r="C52" s="669"/>
      <c r="D52" s="680"/>
      <c r="E52" s="680"/>
      <c r="F52" s="680"/>
      <c r="G52" s="680"/>
      <c r="H52" s="680"/>
      <c r="I52" s="680"/>
      <c r="J52" s="680"/>
      <c r="K52" s="953"/>
      <c r="L52" s="1113"/>
      <c r="M52" s="1113"/>
      <c r="N52" s="1113"/>
      <c r="O52" s="1113"/>
      <c r="P52" s="1057"/>
      <c r="Q52" s="1057"/>
      <c r="R52" s="1057"/>
      <c r="S52" s="1057"/>
    </row>
    <row r="53" spans="2:19" s="407" customFormat="1" ht="15.6" hidden="1" customHeight="1" x14ac:dyDescent="0.2">
      <c r="B53" s="1114">
        <v>281000.42</v>
      </c>
      <c r="C53" s="1115" t="s">
        <v>989</v>
      </c>
      <c r="D53" s="1116">
        <v>0</v>
      </c>
      <c r="E53" s="1116"/>
      <c r="F53" s="1116"/>
      <c r="G53" s="1116">
        <v>0</v>
      </c>
      <c r="H53" s="1116">
        <v>0</v>
      </c>
      <c r="I53" s="1116"/>
      <c r="J53" s="1116"/>
      <c r="K53" s="1117"/>
      <c r="L53" s="1118"/>
      <c r="M53" s="1118"/>
      <c r="N53" s="1118"/>
      <c r="O53" s="1118"/>
      <c r="P53" s="1119"/>
      <c r="Q53" s="1119">
        <v>0</v>
      </c>
      <c r="R53" s="1121">
        <v>0</v>
      </c>
      <c r="S53" s="1121">
        <v>0</v>
      </c>
    </row>
    <row r="54" spans="2:19" s="407" customFormat="1" ht="15.6" hidden="1" customHeight="1" x14ac:dyDescent="0.25">
      <c r="B54" s="668" t="s">
        <v>3216</v>
      </c>
      <c r="C54" s="669"/>
      <c r="D54" s="680"/>
      <c r="E54" s="680"/>
      <c r="F54" s="680"/>
      <c r="G54" s="680"/>
      <c r="H54" s="680"/>
      <c r="I54" s="680"/>
      <c r="J54" s="680"/>
      <c r="K54" s="953"/>
      <c r="L54" s="1113"/>
      <c r="M54" s="1113"/>
      <c r="N54" s="1113"/>
      <c r="O54" s="1113"/>
      <c r="P54" s="1057"/>
      <c r="Q54" s="1057"/>
      <c r="R54" s="1057">
        <f>R53</f>
        <v>0</v>
      </c>
      <c r="S54" s="1057">
        <f>S53</f>
        <v>0</v>
      </c>
    </row>
    <row r="55" spans="2:19" s="407" customFormat="1" ht="15.6" customHeight="1" x14ac:dyDescent="0.25">
      <c r="B55" s="668"/>
      <c r="C55" s="669"/>
      <c r="D55" s="680"/>
      <c r="E55" s="680"/>
      <c r="F55" s="680"/>
      <c r="G55" s="680"/>
      <c r="H55" s="680"/>
      <c r="I55" s="680"/>
      <c r="J55" s="680"/>
      <c r="K55" s="953"/>
      <c r="L55" s="1113"/>
      <c r="M55" s="1113"/>
      <c r="N55" s="1113"/>
      <c r="O55" s="1113"/>
      <c r="P55" s="1057"/>
      <c r="Q55" s="1057"/>
      <c r="R55" s="1057"/>
      <c r="S55" s="1057"/>
    </row>
    <row r="56" spans="2:19" ht="15.6" customHeight="1" x14ac:dyDescent="0.25">
      <c r="B56" s="825">
        <v>277100.99</v>
      </c>
      <c r="C56" s="692" t="s">
        <v>2043</v>
      </c>
      <c r="D56" s="610"/>
      <c r="E56" s="610"/>
      <c r="F56" s="610"/>
      <c r="G56" s="610"/>
      <c r="H56" s="610"/>
      <c r="I56" s="610"/>
      <c r="J56" s="610"/>
      <c r="K56" s="948">
        <v>80000</v>
      </c>
      <c r="L56" s="1200"/>
      <c r="N56" s="514">
        <f>K56-H56</f>
        <v>80000</v>
      </c>
      <c r="O56" s="968">
        <f>K56-H56</f>
        <v>80000</v>
      </c>
      <c r="P56" s="516">
        <v>0</v>
      </c>
      <c r="Q56" s="516">
        <f>P56/9*12</f>
        <v>0</v>
      </c>
      <c r="R56" s="1050">
        <v>80000</v>
      </c>
      <c r="S56" s="1050">
        <v>80000</v>
      </c>
    </row>
    <row r="57" spans="2:19" s="407" customFormat="1" ht="15.6" customHeight="1" x14ac:dyDescent="0.25">
      <c r="B57" s="668" t="s">
        <v>3322</v>
      </c>
      <c r="C57" s="669" t="s">
        <v>3325</v>
      </c>
      <c r="D57" s="680">
        <f>D56</f>
        <v>0</v>
      </c>
      <c r="E57" s="680">
        <f t="shared" ref="E57:S57" si="28">E56</f>
        <v>0</v>
      </c>
      <c r="F57" s="680">
        <f t="shared" si="28"/>
        <v>0</v>
      </c>
      <c r="G57" s="680">
        <f t="shared" si="28"/>
        <v>0</v>
      </c>
      <c r="H57" s="680">
        <f t="shared" si="28"/>
        <v>0</v>
      </c>
      <c r="I57" s="680">
        <f t="shared" si="28"/>
        <v>0</v>
      </c>
      <c r="J57" s="680">
        <f t="shared" si="28"/>
        <v>0</v>
      </c>
      <c r="K57" s="680">
        <f t="shared" si="28"/>
        <v>80000</v>
      </c>
      <c r="L57" s="680">
        <f t="shared" si="28"/>
        <v>0</v>
      </c>
      <c r="M57" s="680">
        <f t="shared" si="28"/>
        <v>0</v>
      </c>
      <c r="N57" s="680">
        <f t="shared" si="28"/>
        <v>80000</v>
      </c>
      <c r="O57" s="680">
        <f t="shared" si="28"/>
        <v>80000</v>
      </c>
      <c r="P57" s="680">
        <f t="shared" si="28"/>
        <v>0</v>
      </c>
      <c r="Q57" s="680">
        <f t="shared" si="28"/>
        <v>0</v>
      </c>
      <c r="R57" s="680">
        <f t="shared" si="28"/>
        <v>80000</v>
      </c>
      <c r="S57" s="680">
        <f t="shared" si="28"/>
        <v>80000</v>
      </c>
    </row>
    <row r="58" spans="2:19" ht="15.6" customHeight="1" x14ac:dyDescent="0.25">
      <c r="B58" s="458"/>
      <c r="C58" s="681"/>
      <c r="D58" s="610"/>
      <c r="E58" s="610"/>
      <c r="F58" s="667">
        <f t="shared" si="3"/>
        <v>0</v>
      </c>
      <c r="G58" s="667"/>
      <c r="H58" s="610"/>
      <c r="I58" s="667"/>
      <c r="J58" s="610"/>
      <c r="K58" s="948"/>
      <c r="L58" s="964"/>
      <c r="N58" s="514">
        <f t="shared" si="0"/>
        <v>0</v>
      </c>
      <c r="O58" s="968">
        <f t="shared" si="4"/>
        <v>0</v>
      </c>
      <c r="P58" s="516"/>
      <c r="Q58" s="516"/>
      <c r="R58" s="516"/>
      <c r="S58" s="516"/>
    </row>
    <row r="59" spans="2:19" s="411" customFormat="1" ht="15.6" customHeight="1" x14ac:dyDescent="0.2">
      <c r="B59" s="674" t="s">
        <v>409</v>
      </c>
      <c r="C59" s="675" t="s">
        <v>1186</v>
      </c>
      <c r="D59" s="1058">
        <f t="shared" ref="D59:R59" si="29">D32+D39+D43+D51+D54+D57</f>
        <v>3629345</v>
      </c>
      <c r="E59" s="1058">
        <f t="shared" si="29"/>
        <v>3315122</v>
      </c>
      <c r="F59" s="1058">
        <f t="shared" si="29"/>
        <v>416364</v>
      </c>
      <c r="G59" s="1058">
        <f t="shared" si="29"/>
        <v>3731486</v>
      </c>
      <c r="H59" s="1058">
        <f t="shared" si="29"/>
        <v>1573315</v>
      </c>
      <c r="I59" s="1058">
        <f t="shared" si="29"/>
        <v>163649.9</v>
      </c>
      <c r="J59" s="1058">
        <f t="shared" si="29"/>
        <v>2544315</v>
      </c>
      <c r="K59" s="1058">
        <f t="shared" si="29"/>
        <v>2393321</v>
      </c>
      <c r="L59" s="1058">
        <f t="shared" si="29"/>
        <v>0</v>
      </c>
      <c r="M59" s="1058">
        <f t="shared" si="29"/>
        <v>292815</v>
      </c>
      <c r="N59" s="1058">
        <f t="shared" si="29"/>
        <v>820006</v>
      </c>
      <c r="O59" s="1058">
        <f t="shared" si="29"/>
        <v>820006</v>
      </c>
      <c r="P59" s="1058">
        <f t="shared" si="29"/>
        <v>1470299</v>
      </c>
      <c r="Q59" s="1058">
        <f t="shared" si="29"/>
        <v>1869613.3333333333</v>
      </c>
      <c r="R59" s="1058">
        <f t="shared" si="29"/>
        <v>2354300</v>
      </c>
      <c r="S59" s="1058">
        <f>S32+S39+S43+S51+S54+S57</f>
        <v>2354300</v>
      </c>
    </row>
    <row r="60" spans="2:19" s="408" customFormat="1" ht="15.6" customHeight="1" x14ac:dyDescent="0.25">
      <c r="B60" s="677"/>
      <c r="C60" s="678"/>
      <c r="D60" s="610"/>
      <c r="E60" s="610"/>
      <c r="F60" s="667">
        <f t="shared" si="3"/>
        <v>0</v>
      </c>
      <c r="G60" s="667"/>
      <c r="H60" s="610"/>
      <c r="I60" s="667"/>
      <c r="J60" s="610"/>
      <c r="K60" s="948"/>
      <c r="L60" s="964"/>
      <c r="N60" s="514">
        <f t="shared" si="0"/>
        <v>0</v>
      </c>
      <c r="O60" s="968">
        <f t="shared" si="4"/>
        <v>0</v>
      </c>
      <c r="P60" s="862"/>
      <c r="Q60" s="862"/>
      <c r="R60" s="862"/>
      <c r="S60" s="862"/>
    </row>
    <row r="61" spans="2:19" s="408" customFormat="1" ht="15.6" customHeight="1" x14ac:dyDescent="0.25">
      <c r="B61" s="683">
        <v>311000.92</v>
      </c>
      <c r="C61" s="684" t="s">
        <v>3067</v>
      </c>
      <c r="D61" s="610"/>
      <c r="E61" s="610"/>
      <c r="F61" s="667"/>
      <c r="G61" s="667"/>
      <c r="H61" s="610"/>
      <c r="I61" s="667"/>
      <c r="J61" s="610"/>
      <c r="K61" s="948"/>
      <c r="L61" s="964"/>
      <c r="N61" s="514"/>
      <c r="O61" s="968"/>
      <c r="P61" s="516">
        <v>286648</v>
      </c>
      <c r="Q61" s="516">
        <v>326647</v>
      </c>
      <c r="R61" s="516">
        <f>'הוצאות '!R127*0.75</f>
        <v>0</v>
      </c>
      <c r="S61" s="516">
        <v>0</v>
      </c>
    </row>
    <row r="62" spans="2:19" s="408" customFormat="1" ht="15.6" customHeight="1" x14ac:dyDescent="0.25">
      <c r="B62" s="683">
        <v>311000.92099999997</v>
      </c>
      <c r="C62" s="684" t="s">
        <v>1187</v>
      </c>
      <c r="D62" s="610">
        <v>149940</v>
      </c>
      <c r="E62" s="610">
        <v>246993</v>
      </c>
      <c r="F62" s="667">
        <f>E62/11</f>
        <v>22453.909090909092</v>
      </c>
      <c r="G62" s="667">
        <f t="shared" si="9"/>
        <v>269446.90909090912</v>
      </c>
      <c r="H62" s="610">
        <f>15619+101066+58000</f>
        <v>174685</v>
      </c>
      <c r="I62" s="667">
        <v>0</v>
      </c>
      <c r="J62" s="610">
        <f>15619+101066+58000</f>
        <v>174685</v>
      </c>
      <c r="K62" s="948">
        <v>174685</v>
      </c>
      <c r="L62" s="964"/>
      <c r="M62" s="408">
        <v>174685</v>
      </c>
      <c r="N62" s="514">
        <f t="shared" si="0"/>
        <v>0</v>
      </c>
      <c r="O62" s="968">
        <f t="shared" si="4"/>
        <v>0</v>
      </c>
      <c r="P62" s="516">
        <v>72000</v>
      </c>
      <c r="Q62" s="516">
        <v>141888</v>
      </c>
      <c r="R62" s="516">
        <v>165000</v>
      </c>
      <c r="S62" s="516">
        <v>165000</v>
      </c>
    </row>
    <row r="63" spans="2:19" s="408" customFormat="1" ht="15.6" hidden="1" customHeight="1" x14ac:dyDescent="0.25">
      <c r="B63" s="683"/>
      <c r="C63" s="684" t="s">
        <v>1849</v>
      </c>
      <c r="D63" s="610">
        <v>0</v>
      </c>
      <c r="E63" s="610"/>
      <c r="F63" s="667"/>
      <c r="G63" s="667">
        <v>0</v>
      </c>
      <c r="H63" s="610">
        <f>'הוצאות '!I127*0.75</f>
        <v>0</v>
      </c>
      <c r="I63" s="667">
        <v>0</v>
      </c>
      <c r="J63" s="610">
        <v>315000</v>
      </c>
      <c r="K63" s="948">
        <v>301650</v>
      </c>
      <c r="L63" s="964"/>
      <c r="M63" s="408">
        <f>402200*0.75</f>
        <v>301650</v>
      </c>
      <c r="N63" s="514">
        <f t="shared" si="0"/>
        <v>301650</v>
      </c>
      <c r="O63" s="968">
        <f t="shared" si="4"/>
        <v>301650</v>
      </c>
      <c r="P63" s="516">
        <v>0</v>
      </c>
      <c r="Q63" s="516">
        <f t="shared" ref="Q63:Q64" si="30">P63/9*12</f>
        <v>0</v>
      </c>
      <c r="R63" s="516">
        <v>0</v>
      </c>
      <c r="S63" s="516">
        <v>0</v>
      </c>
    </row>
    <row r="64" spans="2:19" s="408" customFormat="1" ht="15.6" hidden="1" customHeight="1" x14ac:dyDescent="0.25">
      <c r="B64" s="683">
        <v>311110.92</v>
      </c>
      <c r="C64" s="684" t="s">
        <v>2049</v>
      </c>
      <c r="D64" s="610"/>
      <c r="E64" s="610"/>
      <c r="F64" s="667"/>
      <c r="G64" s="667"/>
      <c r="H64" s="610"/>
      <c r="I64" s="667"/>
      <c r="J64" s="610"/>
      <c r="K64" s="948">
        <v>123045</v>
      </c>
      <c r="L64" s="964"/>
      <c r="N64" s="514"/>
      <c r="O64" s="968"/>
      <c r="P64" s="516">
        <v>0</v>
      </c>
      <c r="Q64" s="516">
        <f t="shared" si="30"/>
        <v>0</v>
      </c>
      <c r="R64" s="516">
        <v>0</v>
      </c>
      <c r="S64" s="516">
        <v>0</v>
      </c>
    </row>
    <row r="65" spans="2:19" s="408" customFormat="1" ht="15.6" customHeight="1" x14ac:dyDescent="0.25">
      <c r="B65" s="665">
        <v>311000.92200000002</v>
      </c>
      <c r="C65" s="666" t="s">
        <v>1188</v>
      </c>
      <c r="D65" s="610">
        <v>75000</v>
      </c>
      <c r="E65" s="610">
        <v>0</v>
      </c>
      <c r="F65" s="667">
        <f t="shared" ref="F65:F66" si="31">E65/11</f>
        <v>0</v>
      </c>
      <c r="G65" s="667">
        <f t="shared" si="9"/>
        <v>0</v>
      </c>
      <c r="H65" s="610">
        <v>75000</v>
      </c>
      <c r="I65" s="667">
        <v>0</v>
      </c>
      <c r="J65" s="610">
        <v>75000</v>
      </c>
      <c r="K65" s="948">
        <v>72000</v>
      </c>
      <c r="L65" s="964"/>
      <c r="M65" s="408">
        <v>72000</v>
      </c>
      <c r="N65" s="514">
        <f t="shared" si="0"/>
        <v>-3000</v>
      </c>
      <c r="O65" s="968">
        <f t="shared" si="4"/>
        <v>-3000</v>
      </c>
      <c r="P65" s="516">
        <v>72014</v>
      </c>
      <c r="Q65" s="516">
        <v>72014</v>
      </c>
      <c r="R65" s="516">
        <v>96000</v>
      </c>
      <c r="S65" s="516">
        <v>96000</v>
      </c>
    </row>
    <row r="66" spans="2:19" s="408" customFormat="1" ht="15.6" customHeight="1" x14ac:dyDescent="0.25">
      <c r="B66" s="685">
        <v>311000.92300000001</v>
      </c>
      <c r="C66" s="679" t="s">
        <v>1189</v>
      </c>
      <c r="D66" s="610">
        <v>200000</v>
      </c>
      <c r="E66" s="610">
        <v>0</v>
      </c>
      <c r="F66" s="667">
        <f t="shared" si="31"/>
        <v>0</v>
      </c>
      <c r="G66" s="667">
        <f t="shared" si="9"/>
        <v>0</v>
      </c>
      <c r="H66" s="610">
        <v>200000</v>
      </c>
      <c r="I66" s="667">
        <f>-VLOOKUP(C66,'הכנסות לשלפה'!$C$1:$H$246,4,FALSE)</f>
        <v>0</v>
      </c>
      <c r="J66" s="610">
        <v>200000</v>
      </c>
      <c r="K66" s="948">
        <v>200000</v>
      </c>
      <c r="L66" s="964"/>
      <c r="M66" s="408">
        <v>200000</v>
      </c>
      <c r="N66" s="514">
        <f t="shared" si="0"/>
        <v>0</v>
      </c>
      <c r="O66" s="968">
        <f t="shared" si="4"/>
        <v>0</v>
      </c>
      <c r="P66" s="862"/>
      <c r="Q66" s="516">
        <v>359532</v>
      </c>
      <c r="R66" s="516">
        <v>200000</v>
      </c>
      <c r="S66" s="516">
        <v>200000</v>
      </c>
    </row>
    <row r="67" spans="2:19" s="408" customFormat="1" ht="15.6" customHeight="1" x14ac:dyDescent="0.25">
      <c r="B67" s="686" t="s">
        <v>1190</v>
      </c>
      <c r="C67" s="687" t="s">
        <v>1191</v>
      </c>
      <c r="D67" s="688">
        <f>SUM(D62:D66)</f>
        <v>424940</v>
      </c>
      <c r="E67" s="688">
        <f t="shared" ref="E67:O67" si="32">SUM(E62:E66)</f>
        <v>246993</v>
      </c>
      <c r="F67" s="688">
        <f t="shared" si="32"/>
        <v>22453.909090909092</v>
      </c>
      <c r="G67" s="688">
        <f t="shared" si="32"/>
        <v>269446.90909090912</v>
      </c>
      <c r="H67" s="688">
        <f t="shared" si="32"/>
        <v>449685</v>
      </c>
      <c r="I67" s="688">
        <f t="shared" si="32"/>
        <v>0</v>
      </c>
      <c r="J67" s="688">
        <f t="shared" si="32"/>
        <v>764685</v>
      </c>
      <c r="K67" s="954">
        <f t="shared" si="32"/>
        <v>871380</v>
      </c>
      <c r="L67" s="954">
        <f t="shared" si="32"/>
        <v>0</v>
      </c>
      <c r="M67" s="954">
        <f t="shared" si="32"/>
        <v>748335</v>
      </c>
      <c r="N67" s="954">
        <f t="shared" si="32"/>
        <v>298650</v>
      </c>
      <c r="O67" s="1045">
        <f t="shared" si="32"/>
        <v>298650</v>
      </c>
      <c r="P67" s="1059">
        <f>SUM(P61:P66)</f>
        <v>430662</v>
      </c>
      <c r="Q67" s="1059">
        <f>SUM(Q61:Q66)</f>
        <v>900081</v>
      </c>
      <c r="R67" s="1059">
        <f>SUM(R61:R66)</f>
        <v>461000</v>
      </c>
      <c r="S67" s="1059">
        <f>SUM(S61:S66)</f>
        <v>461000</v>
      </c>
    </row>
    <row r="68" spans="2:19" s="408" customFormat="1" ht="15.6" customHeight="1" x14ac:dyDescent="0.25">
      <c r="B68" s="668"/>
      <c r="C68" s="669"/>
      <c r="D68" s="610"/>
      <c r="E68" s="610"/>
      <c r="F68" s="667">
        <f t="shared" si="3"/>
        <v>0</v>
      </c>
      <c r="G68" s="667"/>
      <c r="H68" s="610"/>
      <c r="I68" s="667"/>
      <c r="J68" s="610"/>
      <c r="K68" s="948"/>
      <c r="L68" s="964"/>
      <c r="N68" s="514">
        <f t="shared" si="0"/>
        <v>0</v>
      </c>
      <c r="O68" s="968">
        <f>K68-H68</f>
        <v>0</v>
      </c>
      <c r="P68" s="862"/>
      <c r="Q68" s="862"/>
      <c r="R68" s="862"/>
      <c r="S68" s="862"/>
    </row>
    <row r="69" spans="2:19" s="408" customFormat="1" ht="15.6" customHeight="1" x14ac:dyDescent="0.25">
      <c r="B69" s="685">
        <v>317500.42</v>
      </c>
      <c r="C69" s="679" t="s">
        <v>3225</v>
      </c>
      <c r="D69" s="610">
        <v>35000</v>
      </c>
      <c r="E69" s="610">
        <v>43825</v>
      </c>
      <c r="F69" s="667">
        <f>E69/9*3</f>
        <v>14608.333333333332</v>
      </c>
      <c r="G69" s="667">
        <f t="shared" si="9"/>
        <v>58433.333333333328</v>
      </c>
      <c r="H69" s="610">
        <v>35000</v>
      </c>
      <c r="I69" s="667">
        <v>7798</v>
      </c>
      <c r="J69" s="610">
        <v>35000</v>
      </c>
      <c r="K69" s="948">
        <v>35000</v>
      </c>
      <c r="L69" s="964"/>
      <c r="M69" s="408">
        <v>35000</v>
      </c>
      <c r="N69" s="514">
        <f t="shared" si="0"/>
        <v>0</v>
      </c>
      <c r="O69" s="968">
        <f t="shared" si="4"/>
        <v>0</v>
      </c>
      <c r="P69" s="516">
        <v>24061</v>
      </c>
      <c r="Q69" s="516">
        <v>56211</v>
      </c>
      <c r="R69" s="516">
        <v>56000</v>
      </c>
      <c r="S69" s="516">
        <v>56000</v>
      </c>
    </row>
    <row r="70" spans="2:19" s="408" customFormat="1" ht="15.6" customHeight="1" x14ac:dyDescent="0.25">
      <c r="B70" s="665">
        <v>312100.92</v>
      </c>
      <c r="C70" s="689" t="s">
        <v>666</v>
      </c>
      <c r="D70" s="610">
        <v>10000</v>
      </c>
      <c r="E70" s="610">
        <v>13200</v>
      </c>
      <c r="F70" s="667">
        <f t="shared" ref="F70:F88" si="33">E70/11</f>
        <v>1200</v>
      </c>
      <c r="G70" s="667">
        <f t="shared" si="9"/>
        <v>14400</v>
      </c>
      <c r="H70" s="610">
        <v>10000</v>
      </c>
      <c r="I70" s="667">
        <v>-13200</v>
      </c>
      <c r="J70" s="610">
        <v>10000</v>
      </c>
      <c r="K70" s="948">
        <v>10000</v>
      </c>
      <c r="L70" s="964"/>
      <c r="M70" s="408">
        <v>10000</v>
      </c>
      <c r="N70" s="514">
        <f t="shared" si="0"/>
        <v>0</v>
      </c>
      <c r="O70" s="968">
        <f t="shared" si="4"/>
        <v>0</v>
      </c>
      <c r="P70" s="516">
        <v>0</v>
      </c>
      <c r="Q70" s="516">
        <f t="shared" ref="Q70:Q86" si="34">P70/9*12</f>
        <v>0</v>
      </c>
      <c r="R70" s="516">
        <v>0</v>
      </c>
      <c r="S70" s="516">
        <v>0</v>
      </c>
    </row>
    <row r="71" spans="2:19" s="408" customFormat="1" ht="15.6" customHeight="1" x14ac:dyDescent="0.25">
      <c r="B71" s="685">
        <v>312200.92099999997</v>
      </c>
      <c r="C71" s="679" t="s">
        <v>1192</v>
      </c>
      <c r="D71" s="610">
        <v>7056</v>
      </c>
      <c r="E71" s="610">
        <v>7252</v>
      </c>
      <c r="F71" s="667">
        <f t="shared" si="33"/>
        <v>659.27272727272725</v>
      </c>
      <c r="G71" s="667">
        <f t="shared" si="9"/>
        <v>7911.272727272727</v>
      </c>
      <c r="H71" s="610">
        <v>7056</v>
      </c>
      <c r="I71" s="667">
        <v>0</v>
      </c>
      <c r="J71" s="610">
        <v>7056</v>
      </c>
      <c r="K71" s="948">
        <v>7056</v>
      </c>
      <c r="L71" s="964"/>
      <c r="M71" s="408">
        <v>7056</v>
      </c>
      <c r="N71" s="514">
        <f t="shared" si="0"/>
        <v>0</v>
      </c>
      <c r="O71" s="968">
        <f t="shared" si="4"/>
        <v>0</v>
      </c>
      <c r="P71" s="516">
        <v>4704</v>
      </c>
      <c r="Q71" s="516">
        <v>14896</v>
      </c>
      <c r="R71" s="516">
        <v>15000</v>
      </c>
      <c r="S71" s="516">
        <v>15000</v>
      </c>
    </row>
    <row r="72" spans="2:19" ht="15.6" customHeight="1" x14ac:dyDescent="0.25">
      <c r="B72" s="665">
        <v>312200.92</v>
      </c>
      <c r="C72" s="666" t="s">
        <v>1765</v>
      </c>
      <c r="D72" s="667">
        <v>908000</v>
      </c>
      <c r="E72" s="667">
        <v>887107</v>
      </c>
      <c r="F72" s="667">
        <f t="shared" si="33"/>
        <v>80646.090909090912</v>
      </c>
      <c r="G72" s="667">
        <f t="shared" si="9"/>
        <v>967753.09090909094</v>
      </c>
      <c r="H72" s="667">
        <v>1074094</v>
      </c>
      <c r="I72" s="667">
        <v>558180</v>
      </c>
      <c r="J72" s="667">
        <f>976449*1.1</f>
        <v>1074093.9000000001</v>
      </c>
      <c r="K72" s="960">
        <v>1050000</v>
      </c>
      <c r="L72" s="964"/>
      <c r="M72" s="493" t="s">
        <v>2036</v>
      </c>
      <c r="N72" s="514">
        <f t="shared" si="0"/>
        <v>-24094</v>
      </c>
      <c r="O72" s="968">
        <f t="shared" si="4"/>
        <v>-24094</v>
      </c>
      <c r="P72" s="516">
        <v>816698</v>
      </c>
      <c r="Q72" s="516">
        <v>1058480</v>
      </c>
      <c r="R72" s="516">
        <f>1090000+100000</f>
        <v>1190000</v>
      </c>
      <c r="S72" s="516">
        <f>1090000+100000</f>
        <v>1190000</v>
      </c>
    </row>
    <row r="73" spans="2:19" ht="15.6" customHeight="1" x14ac:dyDescent="0.25">
      <c r="B73" s="685">
        <v>312200.92200000002</v>
      </c>
      <c r="C73" s="679" t="s">
        <v>1766</v>
      </c>
      <c r="D73" s="610">
        <v>-115000</v>
      </c>
      <c r="E73" s="610">
        <v>-90237</v>
      </c>
      <c r="F73" s="667">
        <f t="shared" si="33"/>
        <v>-8203.363636363636</v>
      </c>
      <c r="G73" s="667">
        <f t="shared" si="9"/>
        <v>-98440.363636363632</v>
      </c>
      <c r="H73" s="610">
        <v>-115000</v>
      </c>
      <c r="I73" s="667">
        <v>-80131</v>
      </c>
      <c r="J73" s="610">
        <v>-115000</v>
      </c>
      <c r="K73" s="948">
        <v>-115000</v>
      </c>
      <c r="L73" s="964"/>
      <c r="M73" s="493">
        <v>-115000</v>
      </c>
      <c r="N73" s="514">
        <f t="shared" si="0"/>
        <v>0</v>
      </c>
      <c r="O73" s="968">
        <f t="shared" si="4"/>
        <v>0</v>
      </c>
      <c r="P73" s="516">
        <v>-75089</v>
      </c>
      <c r="Q73" s="516">
        <v>-115550</v>
      </c>
      <c r="R73" s="516">
        <v>-100000</v>
      </c>
      <c r="S73" s="516">
        <v>-100000</v>
      </c>
    </row>
    <row r="74" spans="2:19" s="408" customFormat="1" ht="15.6" customHeight="1" x14ac:dyDescent="0.25">
      <c r="B74" s="665">
        <v>312200.42</v>
      </c>
      <c r="C74" s="679" t="s">
        <v>1193</v>
      </c>
      <c r="D74" s="610">
        <v>2000</v>
      </c>
      <c r="E74" s="610">
        <v>17006</v>
      </c>
      <c r="F74" s="667">
        <f t="shared" si="33"/>
        <v>1546</v>
      </c>
      <c r="G74" s="667">
        <f t="shared" si="9"/>
        <v>18552</v>
      </c>
      <c r="H74" s="610">
        <v>2000</v>
      </c>
      <c r="I74" s="667">
        <f>-VLOOKUP(C74,'הכנסות לשלפה'!$C$1:$H$246,4,FALSE)</f>
        <v>-73.5</v>
      </c>
      <c r="J74" s="610">
        <v>2000</v>
      </c>
      <c r="K74" s="948">
        <v>2000</v>
      </c>
      <c r="L74" s="964"/>
      <c r="M74" s="408">
        <v>2000</v>
      </c>
      <c r="N74" s="514">
        <f t="shared" si="0"/>
        <v>0</v>
      </c>
      <c r="O74" s="968">
        <f t="shared" si="4"/>
        <v>0</v>
      </c>
      <c r="P74" s="516">
        <v>19203</v>
      </c>
      <c r="Q74" s="516">
        <v>85616</v>
      </c>
      <c r="R74" s="516">
        <v>26000</v>
      </c>
      <c r="S74" s="516">
        <v>26000</v>
      </c>
    </row>
    <row r="75" spans="2:19" ht="15.6" customHeight="1" x14ac:dyDescent="0.25">
      <c r="B75" s="665">
        <v>312200.42099999997</v>
      </c>
      <c r="C75" s="666" t="s">
        <v>1194</v>
      </c>
      <c r="D75" s="667">
        <v>100000</v>
      </c>
      <c r="E75" s="667">
        <v>77687</v>
      </c>
      <c r="F75" s="667">
        <f t="shared" si="33"/>
        <v>7062.454545454545</v>
      </c>
      <c r="G75" s="667">
        <f t="shared" si="9"/>
        <v>84749.454545454544</v>
      </c>
      <c r="H75" s="667">
        <v>100000</v>
      </c>
      <c r="I75" s="667">
        <v>187070</v>
      </c>
      <c r="J75" s="667">
        <v>100000</v>
      </c>
      <c r="K75" s="948">
        <v>190000</v>
      </c>
      <c r="L75" s="964"/>
      <c r="M75" s="493">
        <v>190000</v>
      </c>
      <c r="N75" s="514">
        <f t="shared" si="0"/>
        <v>90000</v>
      </c>
      <c r="O75" s="968">
        <f t="shared" si="4"/>
        <v>90000</v>
      </c>
      <c r="P75" s="516">
        <v>197845</v>
      </c>
      <c r="Q75" s="516">
        <f>256845+1975</f>
        <v>258820</v>
      </c>
      <c r="R75" s="516">
        <v>244000</v>
      </c>
      <c r="S75" s="516">
        <v>244000</v>
      </c>
    </row>
    <row r="76" spans="2:19" ht="15.6" customHeight="1" x14ac:dyDescent="0.25">
      <c r="B76" s="665">
        <v>312300.92</v>
      </c>
      <c r="C76" s="666" t="s">
        <v>1195</v>
      </c>
      <c r="D76" s="667">
        <v>2758000</v>
      </c>
      <c r="E76" s="667">
        <v>2997057</v>
      </c>
      <c r="F76" s="667">
        <f t="shared" si="33"/>
        <v>272459.72727272729</v>
      </c>
      <c r="G76" s="667">
        <f t="shared" si="9"/>
        <v>3269516.7272727275</v>
      </c>
      <c r="H76" s="667">
        <f>913*25*10+325*904*0.9*10+20*904*0.9</f>
        <v>2888722</v>
      </c>
      <c r="I76" s="667">
        <v>1647023</v>
      </c>
      <c r="J76" s="667">
        <f>913*25*10+325*904*0.9*10+20*904*0.9</f>
        <v>2888722</v>
      </c>
      <c r="K76" s="960">
        <v>2888722</v>
      </c>
      <c r="L76" s="964"/>
      <c r="M76" s="961">
        <f>913*25*10+325*904*0.9*10+20*904*0.9</f>
        <v>2888722</v>
      </c>
      <c r="N76" s="514">
        <f t="shared" si="0"/>
        <v>0</v>
      </c>
      <c r="O76" s="968">
        <f t="shared" si="4"/>
        <v>0</v>
      </c>
      <c r="P76" s="516">
        <v>2460062</v>
      </c>
      <c r="Q76" s="516">
        <v>3351512</v>
      </c>
      <c r="R76" s="516">
        <v>3440000</v>
      </c>
      <c r="S76" s="516">
        <v>3440000</v>
      </c>
    </row>
    <row r="77" spans="2:19" ht="15.6" customHeight="1" x14ac:dyDescent="0.25">
      <c r="B77" s="685">
        <v>312300.92099999997</v>
      </c>
      <c r="C77" s="679" t="s">
        <v>1196</v>
      </c>
      <c r="D77" s="667">
        <v>1400000</v>
      </c>
      <c r="E77" s="667">
        <v>1153118</v>
      </c>
      <c r="F77" s="667">
        <f t="shared" si="33"/>
        <v>104828.90909090909</v>
      </c>
      <c r="G77" s="667">
        <f t="shared" si="9"/>
        <v>1257946.9090909092</v>
      </c>
      <c r="H77" s="667">
        <v>1400000</v>
      </c>
      <c r="I77" s="667">
        <v>848477</v>
      </c>
      <c r="J77" s="667">
        <v>1400000</v>
      </c>
      <c r="K77" s="960">
        <v>1370000</v>
      </c>
      <c r="L77" s="964"/>
      <c r="M77" s="961">
        <v>1400000</v>
      </c>
      <c r="N77" s="514">
        <f t="shared" si="0"/>
        <v>-30000</v>
      </c>
      <c r="O77" s="968">
        <f t="shared" si="4"/>
        <v>-30000</v>
      </c>
      <c r="P77" s="516">
        <v>1198509</v>
      </c>
      <c r="Q77" s="516">
        <v>1448160</v>
      </c>
      <c r="R77" s="516">
        <v>1598000</v>
      </c>
      <c r="S77" s="516">
        <v>1598000</v>
      </c>
    </row>
    <row r="78" spans="2:19" ht="15.6" customHeight="1" x14ac:dyDescent="0.25">
      <c r="B78" s="665">
        <v>321300.92200000002</v>
      </c>
      <c r="C78" s="666" t="s">
        <v>1197</v>
      </c>
      <c r="D78" s="610">
        <v>334000</v>
      </c>
      <c r="E78" s="610">
        <v>411490</v>
      </c>
      <c r="F78" s="667">
        <f t="shared" si="33"/>
        <v>37408.181818181816</v>
      </c>
      <c r="G78" s="667">
        <f t="shared" si="9"/>
        <v>448898.18181818182</v>
      </c>
      <c r="H78" s="610">
        <v>334000</v>
      </c>
      <c r="I78" s="667">
        <f>-VLOOKUP(C78,'הכנסות לשלפה'!$C$1:$H$246,4,FALSE)</f>
        <v>215931.26</v>
      </c>
      <c r="J78" s="610">
        <v>334000</v>
      </c>
      <c r="K78" s="948">
        <v>334000</v>
      </c>
      <c r="L78" s="964"/>
      <c r="M78" s="962">
        <v>334000</v>
      </c>
      <c r="N78" s="514">
        <f t="shared" si="0"/>
        <v>0</v>
      </c>
      <c r="O78" s="968">
        <f t="shared" si="4"/>
        <v>0</v>
      </c>
      <c r="P78" s="516">
        <v>353465</v>
      </c>
      <c r="Q78" s="516">
        <v>505247</v>
      </c>
      <c r="R78" s="516">
        <v>500000</v>
      </c>
      <c r="S78" s="516">
        <v>500000</v>
      </c>
    </row>
    <row r="79" spans="2:19" ht="15.6" customHeight="1" x14ac:dyDescent="0.25">
      <c r="B79" s="685">
        <v>312300.92300000001</v>
      </c>
      <c r="C79" s="679" t="s">
        <v>1198</v>
      </c>
      <c r="D79" s="610">
        <v>430000</v>
      </c>
      <c r="E79" s="610">
        <v>372832</v>
      </c>
      <c r="F79" s="667">
        <f t="shared" si="33"/>
        <v>33893.818181818184</v>
      </c>
      <c r="G79" s="667">
        <f t="shared" si="9"/>
        <v>406725.81818181818</v>
      </c>
      <c r="H79" s="610">
        <f>65000*12</f>
        <v>780000</v>
      </c>
      <c r="I79" s="667">
        <v>281554</v>
      </c>
      <c r="J79" s="610">
        <f>65000*12</f>
        <v>780000</v>
      </c>
      <c r="K79" s="948">
        <v>780000</v>
      </c>
      <c r="L79" s="964"/>
      <c r="M79" s="962">
        <f>65000*12</f>
        <v>780000</v>
      </c>
      <c r="N79" s="514">
        <f t="shared" si="0"/>
        <v>0</v>
      </c>
      <c r="O79" s="968">
        <f t="shared" si="4"/>
        <v>0</v>
      </c>
      <c r="P79" s="516">
        <v>447600</v>
      </c>
      <c r="Q79" s="516">
        <v>704395</v>
      </c>
      <c r="R79" s="516">
        <v>730000</v>
      </c>
      <c r="S79" s="516">
        <v>730000</v>
      </c>
    </row>
    <row r="80" spans="2:19" ht="15.6" customHeight="1" x14ac:dyDescent="0.25">
      <c r="B80" s="665">
        <v>312500.92</v>
      </c>
      <c r="C80" s="666" t="s">
        <v>1199</v>
      </c>
      <c r="D80" s="667">
        <f>70090+96010</f>
        <v>166100</v>
      </c>
      <c r="E80" s="667">
        <v>14341</v>
      </c>
      <c r="F80" s="667">
        <f t="shared" si="33"/>
        <v>1303.7272727272727</v>
      </c>
      <c r="G80" s="667">
        <f t="shared" si="9"/>
        <v>15644.727272727272</v>
      </c>
      <c r="H80" s="667">
        <v>166100</v>
      </c>
      <c r="I80" s="667">
        <v>16255</v>
      </c>
      <c r="J80" s="667">
        <v>166100</v>
      </c>
      <c r="K80" s="948">
        <v>166100</v>
      </c>
      <c r="L80" s="964"/>
      <c r="M80" s="493">
        <v>166100</v>
      </c>
      <c r="N80" s="514">
        <f t="shared" si="0"/>
        <v>0</v>
      </c>
      <c r="O80" s="968">
        <f t="shared" si="4"/>
        <v>0</v>
      </c>
      <c r="P80" s="516">
        <v>50156</v>
      </c>
      <c r="Q80" s="516">
        <v>105324</v>
      </c>
      <c r="R80" s="516">
        <v>166100</v>
      </c>
      <c r="S80" s="516">
        <v>166100</v>
      </c>
    </row>
    <row r="81" spans="2:19" ht="15.6" customHeight="1" x14ac:dyDescent="0.25">
      <c r="B81" s="665">
        <v>313610.92</v>
      </c>
      <c r="C81" s="689" t="s">
        <v>678</v>
      </c>
      <c r="D81" s="667">
        <v>211330</v>
      </c>
      <c r="E81" s="667">
        <v>73205</v>
      </c>
      <c r="F81" s="667">
        <f t="shared" si="33"/>
        <v>6655</v>
      </c>
      <c r="G81" s="667">
        <f t="shared" si="9"/>
        <v>79860</v>
      </c>
      <c r="H81" s="610">
        <v>211330</v>
      </c>
      <c r="I81" s="667">
        <v>44801</v>
      </c>
      <c r="J81" s="667">
        <f>211330-2500</f>
        <v>208830</v>
      </c>
      <c r="K81" s="948">
        <v>208830</v>
      </c>
      <c r="L81" s="964"/>
      <c r="M81" s="493">
        <v>208830</v>
      </c>
      <c r="N81" s="514">
        <f t="shared" si="0"/>
        <v>-2500</v>
      </c>
      <c r="O81" s="968">
        <f t="shared" si="4"/>
        <v>-2500</v>
      </c>
      <c r="P81" s="516">
        <v>44801</v>
      </c>
      <c r="Q81" s="516">
        <v>153343</v>
      </c>
      <c r="R81" s="516">
        <v>208830</v>
      </c>
      <c r="S81" s="516">
        <v>208830</v>
      </c>
    </row>
    <row r="82" spans="2:19" ht="15.6" customHeight="1" x14ac:dyDescent="0.25">
      <c r="B82" s="665">
        <v>313610.92099999997</v>
      </c>
      <c r="C82" s="679" t="s">
        <v>1200</v>
      </c>
      <c r="D82" s="667">
        <v>110000</v>
      </c>
      <c r="E82" s="667">
        <v>13217</v>
      </c>
      <c r="F82" s="667">
        <f t="shared" si="33"/>
        <v>1201.5454545454545</v>
      </c>
      <c r="G82" s="667">
        <f t="shared" si="9"/>
        <v>14418.545454545454</v>
      </c>
      <c r="H82" s="610">
        <v>110000</v>
      </c>
      <c r="I82" s="667">
        <f>-VLOOKUP(C82,'הכנסות לשלפה'!$C$1:$H$246,4,FALSE)</f>
        <v>0</v>
      </c>
      <c r="J82" s="667">
        <v>98120</v>
      </c>
      <c r="K82" s="948">
        <v>98120</v>
      </c>
      <c r="L82" s="964"/>
      <c r="M82" s="493">
        <v>98120</v>
      </c>
      <c r="N82" s="514">
        <f t="shared" ref="N82:N148" si="35">K82-H82</f>
        <v>-11880</v>
      </c>
      <c r="O82" s="968">
        <f t="shared" si="4"/>
        <v>-11880</v>
      </c>
      <c r="P82" s="516">
        <v>10390</v>
      </c>
      <c r="Q82" s="516">
        <v>61778</v>
      </c>
      <c r="R82" s="516">
        <v>132520</v>
      </c>
      <c r="S82" s="516">
        <v>132520</v>
      </c>
    </row>
    <row r="83" spans="2:19" ht="15.6" customHeight="1" x14ac:dyDescent="0.25">
      <c r="B83" s="665">
        <v>312513.91999999998</v>
      </c>
      <c r="C83" s="666" t="s">
        <v>1201</v>
      </c>
      <c r="D83" s="667">
        <v>440000</v>
      </c>
      <c r="E83" s="610">
        <v>202799</v>
      </c>
      <c r="F83" s="667">
        <f t="shared" si="33"/>
        <v>18436.272727272728</v>
      </c>
      <c r="G83" s="667">
        <f t="shared" ref="G83:G157" si="36">F83+E83</f>
        <v>221235.27272727274</v>
      </c>
      <c r="H83" s="610">
        <v>440000</v>
      </c>
      <c r="I83" s="667">
        <v>0</v>
      </c>
      <c r="J83" s="610">
        <v>715683</v>
      </c>
      <c r="K83" s="948">
        <v>628000</v>
      </c>
      <c r="L83" s="964"/>
      <c r="M83" s="493">
        <v>628000</v>
      </c>
      <c r="N83" s="514">
        <f t="shared" si="35"/>
        <v>188000</v>
      </c>
      <c r="O83" s="968">
        <f t="shared" si="4"/>
        <v>188000</v>
      </c>
      <c r="P83" s="516">
        <v>0</v>
      </c>
      <c r="Q83" s="516">
        <f t="shared" si="34"/>
        <v>0</v>
      </c>
      <c r="R83" s="516">
        <v>0</v>
      </c>
      <c r="S83" s="516">
        <v>0</v>
      </c>
    </row>
    <row r="84" spans="2:19" ht="15.6" customHeight="1" x14ac:dyDescent="0.25">
      <c r="B84" s="665">
        <v>312514.92</v>
      </c>
      <c r="C84" s="666" t="s">
        <v>1202</v>
      </c>
      <c r="D84" s="667">
        <v>500</v>
      </c>
      <c r="E84" s="667">
        <v>0</v>
      </c>
      <c r="F84" s="667">
        <f t="shared" si="33"/>
        <v>0</v>
      </c>
      <c r="G84" s="667">
        <f t="shared" si="36"/>
        <v>0</v>
      </c>
      <c r="H84" s="667">
        <v>500</v>
      </c>
      <c r="I84" s="667">
        <f>-VLOOKUP(C84,'הכנסות לשלפה'!$C$1:$H$246,4,FALSE)</f>
        <v>0</v>
      </c>
      <c r="J84" s="667">
        <v>500</v>
      </c>
      <c r="K84" s="948">
        <v>500</v>
      </c>
      <c r="L84" s="964"/>
      <c r="M84" s="493">
        <v>500</v>
      </c>
      <c r="N84" s="514">
        <f t="shared" si="35"/>
        <v>0</v>
      </c>
      <c r="O84" s="968">
        <f t="shared" ref="O84:O150" si="37">K84-H84</f>
        <v>0</v>
      </c>
      <c r="P84" s="516">
        <v>0</v>
      </c>
      <c r="Q84" s="516">
        <f t="shared" si="34"/>
        <v>0</v>
      </c>
      <c r="R84" s="516">
        <v>0</v>
      </c>
      <c r="S84" s="516">
        <v>0</v>
      </c>
    </row>
    <row r="85" spans="2:19" ht="15.6" customHeight="1" x14ac:dyDescent="0.25">
      <c r="B85" s="665">
        <v>312515.92</v>
      </c>
      <c r="C85" s="679" t="s">
        <v>683</v>
      </c>
      <c r="D85" s="610">
        <v>104000</v>
      </c>
      <c r="E85" s="610">
        <v>55831</v>
      </c>
      <c r="F85" s="667">
        <f t="shared" si="33"/>
        <v>5075.545454545455</v>
      </c>
      <c r="G85" s="667">
        <f t="shared" si="36"/>
        <v>60906.545454545456</v>
      </c>
      <c r="H85" s="610">
        <v>104000</v>
      </c>
      <c r="I85" s="667">
        <v>0</v>
      </c>
      <c r="J85" s="610">
        <v>104000</v>
      </c>
      <c r="K85" s="948">
        <v>50600</v>
      </c>
      <c r="L85" s="964"/>
      <c r="M85" s="493">
        <v>50600</v>
      </c>
      <c r="N85" s="514">
        <f t="shared" si="35"/>
        <v>-53400</v>
      </c>
      <c r="O85" s="968">
        <f t="shared" si="37"/>
        <v>-53400</v>
      </c>
      <c r="P85" s="516">
        <v>0</v>
      </c>
      <c r="Q85" s="516">
        <f t="shared" si="34"/>
        <v>0</v>
      </c>
      <c r="R85" s="516">
        <v>0</v>
      </c>
      <c r="S85" s="516">
        <v>0</v>
      </c>
    </row>
    <row r="86" spans="2:19" ht="15.6" customHeight="1" x14ac:dyDescent="0.25">
      <c r="B86" s="685">
        <v>312517.92</v>
      </c>
      <c r="C86" s="679" t="s">
        <v>1203</v>
      </c>
      <c r="D86" s="610">
        <v>68500</v>
      </c>
      <c r="E86" s="610">
        <v>0</v>
      </c>
      <c r="F86" s="667">
        <f t="shared" si="33"/>
        <v>0</v>
      </c>
      <c r="G86" s="667">
        <f t="shared" si="36"/>
        <v>0</v>
      </c>
      <c r="H86" s="610">
        <v>68500</v>
      </c>
      <c r="I86" s="667">
        <v>0</v>
      </c>
      <c r="J86" s="610">
        <v>68500</v>
      </c>
      <c r="K86" s="948">
        <f t="shared" ref="K86:K141" si="38">I86*2</f>
        <v>0</v>
      </c>
      <c r="L86" s="964" t="s">
        <v>2042</v>
      </c>
      <c r="M86" s="958" t="s">
        <v>2037</v>
      </c>
      <c r="N86" s="514">
        <f t="shared" si="35"/>
        <v>-68500</v>
      </c>
      <c r="O86" s="968">
        <f t="shared" si="37"/>
        <v>-68500</v>
      </c>
      <c r="P86" s="516">
        <v>0</v>
      </c>
      <c r="Q86" s="516">
        <f t="shared" si="34"/>
        <v>0</v>
      </c>
      <c r="R86" s="516">
        <v>0</v>
      </c>
      <c r="S86" s="516">
        <v>0</v>
      </c>
    </row>
    <row r="87" spans="2:19" ht="15.6" customHeight="1" x14ac:dyDescent="0.25">
      <c r="B87" s="665">
        <v>313300.92</v>
      </c>
      <c r="C87" s="666" t="s">
        <v>1204</v>
      </c>
      <c r="D87" s="667">
        <v>4000</v>
      </c>
      <c r="E87" s="667">
        <v>3553</v>
      </c>
      <c r="F87" s="667">
        <f t="shared" si="33"/>
        <v>323</v>
      </c>
      <c r="G87" s="667">
        <f t="shared" si="36"/>
        <v>3876</v>
      </c>
      <c r="H87" s="667">
        <v>4000</v>
      </c>
      <c r="I87" s="667">
        <v>5584</v>
      </c>
      <c r="J87" s="667">
        <v>4000</v>
      </c>
      <c r="K87" s="948">
        <v>6000</v>
      </c>
      <c r="L87" s="964"/>
      <c r="M87" s="493">
        <v>6000</v>
      </c>
      <c r="N87" s="514">
        <f t="shared" si="35"/>
        <v>2000</v>
      </c>
      <c r="O87" s="968">
        <f t="shared" si="37"/>
        <v>2000</v>
      </c>
      <c r="P87" s="516">
        <v>5790</v>
      </c>
      <c r="Q87" s="516">
        <v>5790</v>
      </c>
      <c r="R87" s="516">
        <v>8000</v>
      </c>
      <c r="S87" s="516">
        <v>8000</v>
      </c>
    </row>
    <row r="88" spans="2:19" ht="15.6" customHeight="1" x14ac:dyDescent="0.25">
      <c r="B88" s="665">
        <v>312200.92300000001</v>
      </c>
      <c r="C88" s="666" t="s">
        <v>1701</v>
      </c>
      <c r="D88" s="667">
        <v>-350000</v>
      </c>
      <c r="E88" s="667">
        <v>-63635</v>
      </c>
      <c r="F88" s="667">
        <f t="shared" si="33"/>
        <v>-5785</v>
      </c>
      <c r="G88" s="667">
        <f t="shared" si="36"/>
        <v>-69420</v>
      </c>
      <c r="H88" s="667">
        <v>-350000</v>
      </c>
      <c r="I88" s="667">
        <v>-178110</v>
      </c>
      <c r="J88" s="673">
        <v>-350000</v>
      </c>
      <c r="K88" s="948">
        <f t="shared" si="38"/>
        <v>-356220</v>
      </c>
      <c r="L88" s="964"/>
      <c r="N88" s="514">
        <f t="shared" si="35"/>
        <v>-6220</v>
      </c>
      <c r="O88" s="968">
        <f t="shared" si="37"/>
        <v>-6220</v>
      </c>
      <c r="P88" s="516">
        <v>-177366</v>
      </c>
      <c r="Q88" s="516">
        <v>-189656</v>
      </c>
      <c r="R88" s="516">
        <v>-190000</v>
      </c>
      <c r="S88" s="516">
        <v>-190000</v>
      </c>
    </row>
    <row r="89" spans="2:19" s="407" customFormat="1" ht="15.6" customHeight="1" x14ac:dyDescent="0.25">
      <c r="B89" s="668" t="s">
        <v>1205</v>
      </c>
      <c r="C89" s="669" t="s">
        <v>1206</v>
      </c>
      <c r="D89" s="670">
        <f t="shared" ref="D89:S89" si="39">SUM(D69:D88)</f>
        <v>6623486</v>
      </c>
      <c r="E89" s="670">
        <f t="shared" si="39"/>
        <v>6189648</v>
      </c>
      <c r="F89" s="670">
        <f t="shared" si="39"/>
        <v>573319.51515151514</v>
      </c>
      <c r="G89" s="670">
        <f t="shared" si="39"/>
        <v>6762967.5151515165</v>
      </c>
      <c r="H89" s="670">
        <f>H69+H70+H71+H72+H73+H74+H75+H76+H77+H78+H79+H80+H81+H82+H83+H84+H85+H86+H87+H88</f>
        <v>7270302</v>
      </c>
      <c r="I89" s="670">
        <f t="shared" si="39"/>
        <v>3541158.76</v>
      </c>
      <c r="J89" s="670">
        <f t="shared" si="39"/>
        <v>7531604.9000000004</v>
      </c>
      <c r="K89" s="949">
        <f t="shared" si="39"/>
        <v>7353708</v>
      </c>
      <c r="L89" s="949">
        <f t="shared" si="39"/>
        <v>0</v>
      </c>
      <c r="M89" s="949">
        <f t="shared" si="39"/>
        <v>6689928</v>
      </c>
      <c r="N89" s="949">
        <f t="shared" si="39"/>
        <v>83406</v>
      </c>
      <c r="O89" s="1040">
        <f t="shared" si="39"/>
        <v>83406</v>
      </c>
      <c r="P89" s="1052">
        <f t="shared" si="39"/>
        <v>5380829</v>
      </c>
      <c r="Q89" s="1052">
        <f t="shared" si="39"/>
        <v>7504366</v>
      </c>
      <c r="R89" s="1052">
        <f t="shared" si="39"/>
        <v>8024450</v>
      </c>
      <c r="S89" s="1052">
        <f t="shared" si="39"/>
        <v>8024450</v>
      </c>
    </row>
    <row r="90" spans="2:19" ht="15.6" customHeight="1" x14ac:dyDescent="0.25">
      <c r="B90" s="671"/>
      <c r="C90" s="672"/>
      <c r="D90" s="667"/>
      <c r="E90" s="667"/>
      <c r="F90" s="667"/>
      <c r="G90" s="667"/>
      <c r="H90" s="667"/>
      <c r="I90" s="667"/>
      <c r="J90" s="667"/>
      <c r="K90" s="948"/>
      <c r="L90" s="964"/>
      <c r="N90" s="514">
        <f t="shared" si="35"/>
        <v>0</v>
      </c>
      <c r="O90" s="968">
        <f t="shared" si="37"/>
        <v>0</v>
      </c>
      <c r="P90" s="516"/>
      <c r="Q90" s="516"/>
      <c r="R90" s="516"/>
      <c r="S90" s="516"/>
    </row>
    <row r="91" spans="2:19" ht="15.6" customHeight="1" x14ac:dyDescent="0.25">
      <c r="B91" s="665">
        <v>313100.92</v>
      </c>
      <c r="C91" s="666" t="s">
        <v>1207</v>
      </c>
      <c r="D91" s="610">
        <v>868000</v>
      </c>
      <c r="E91" s="610">
        <v>971505</v>
      </c>
      <c r="F91" s="667">
        <f t="shared" ref="F91:F116" si="40">E91/11</f>
        <v>88318.636363636368</v>
      </c>
      <c r="G91" s="667">
        <f t="shared" si="36"/>
        <v>1059823.6363636365</v>
      </c>
      <c r="H91" s="610">
        <v>868000</v>
      </c>
      <c r="I91" s="667">
        <v>564898</v>
      </c>
      <c r="J91" s="610">
        <v>868000</v>
      </c>
      <c r="K91" s="948">
        <v>1059824</v>
      </c>
      <c r="L91" s="964"/>
      <c r="M91" s="493" t="s">
        <v>2040</v>
      </c>
      <c r="N91" s="514">
        <f t="shared" si="35"/>
        <v>191824</v>
      </c>
      <c r="O91" s="968">
        <f t="shared" si="37"/>
        <v>191824</v>
      </c>
      <c r="P91" s="516">
        <v>832054</v>
      </c>
      <c r="Q91" s="516">
        <v>1094964</v>
      </c>
      <c r="R91" s="516">
        <v>1110000</v>
      </c>
      <c r="S91" s="516">
        <v>1110000</v>
      </c>
    </row>
    <row r="92" spans="2:19" ht="15.6" customHeight="1" x14ac:dyDescent="0.25">
      <c r="B92" s="665">
        <v>313100.92099999997</v>
      </c>
      <c r="C92" s="666" t="s">
        <v>1208</v>
      </c>
      <c r="D92" s="610">
        <v>182000</v>
      </c>
      <c r="E92" s="610">
        <v>175040</v>
      </c>
      <c r="F92" s="667">
        <f t="shared" si="40"/>
        <v>15912.727272727272</v>
      </c>
      <c r="G92" s="667">
        <f t="shared" si="36"/>
        <v>190952.72727272726</v>
      </c>
      <c r="H92" s="610">
        <v>182000</v>
      </c>
      <c r="I92" s="667">
        <v>100748</v>
      </c>
      <c r="J92" s="610">
        <v>182000</v>
      </c>
      <c r="K92" s="948">
        <v>190953</v>
      </c>
      <c r="L92" s="964"/>
      <c r="M92" s="493" t="s">
        <v>2040</v>
      </c>
      <c r="N92" s="514">
        <f t="shared" si="35"/>
        <v>8953</v>
      </c>
      <c r="O92" s="968">
        <f t="shared" si="37"/>
        <v>8953</v>
      </c>
      <c r="P92" s="516">
        <v>152731</v>
      </c>
      <c r="Q92" s="516">
        <v>199967</v>
      </c>
      <c r="R92" s="516">
        <v>204000</v>
      </c>
      <c r="S92" s="516">
        <v>204000</v>
      </c>
    </row>
    <row r="93" spans="2:19" ht="15.6" customHeight="1" x14ac:dyDescent="0.25">
      <c r="B93" s="665">
        <v>313100.92200000002</v>
      </c>
      <c r="C93" s="666" t="s">
        <v>1209</v>
      </c>
      <c r="D93" s="667">
        <v>192000</v>
      </c>
      <c r="E93" s="667">
        <v>178163</v>
      </c>
      <c r="F93" s="667">
        <f t="shared" si="40"/>
        <v>16196.636363636364</v>
      </c>
      <c r="G93" s="667">
        <f t="shared" si="36"/>
        <v>194359.63636363635</v>
      </c>
      <c r="H93" s="667">
        <v>192000</v>
      </c>
      <c r="I93" s="667">
        <v>97625</v>
      </c>
      <c r="J93" s="667">
        <v>192000</v>
      </c>
      <c r="K93" s="948">
        <v>194360</v>
      </c>
      <c r="L93" s="964"/>
      <c r="M93" s="493" t="s">
        <v>2040</v>
      </c>
      <c r="N93" s="514">
        <f t="shared" si="35"/>
        <v>2360</v>
      </c>
      <c r="O93" s="968">
        <f t="shared" si="37"/>
        <v>2360</v>
      </c>
      <c r="P93" s="516">
        <v>146325</v>
      </c>
      <c r="Q93" s="516">
        <v>196175</v>
      </c>
      <c r="R93" s="516">
        <v>195000</v>
      </c>
      <c r="S93" s="516">
        <v>195000</v>
      </c>
    </row>
    <row r="94" spans="2:19" ht="15.6" customHeight="1" x14ac:dyDescent="0.25">
      <c r="B94" s="665">
        <v>313100.92300000001</v>
      </c>
      <c r="C94" s="666" t="s">
        <v>1210</v>
      </c>
      <c r="D94" s="667">
        <v>65000</v>
      </c>
      <c r="E94" s="667">
        <v>59194</v>
      </c>
      <c r="F94" s="667">
        <f t="shared" si="40"/>
        <v>5381.272727272727</v>
      </c>
      <c r="G94" s="667">
        <f t="shared" si="36"/>
        <v>64575.272727272728</v>
      </c>
      <c r="H94" s="667">
        <v>65000</v>
      </c>
      <c r="I94" s="667">
        <f>-VLOOKUP(C94,'הכנסות לשלפה'!$C$1:$H$246,4,FALSE)</f>
        <v>-23496.48</v>
      </c>
      <c r="J94" s="667">
        <v>65000</v>
      </c>
      <c r="K94" s="948">
        <v>64575</v>
      </c>
      <c r="L94" s="964"/>
      <c r="M94" s="493" t="s">
        <v>2040</v>
      </c>
      <c r="N94" s="514">
        <f t="shared" si="35"/>
        <v>-425</v>
      </c>
      <c r="O94" s="968">
        <f t="shared" si="37"/>
        <v>-425</v>
      </c>
      <c r="P94" s="516">
        <v>-16564</v>
      </c>
      <c r="Q94" s="516">
        <v>4235</v>
      </c>
      <c r="R94" s="516">
        <v>5000</v>
      </c>
      <c r="S94" s="516">
        <v>5000</v>
      </c>
    </row>
    <row r="95" spans="2:19" ht="15.6" customHeight="1" x14ac:dyDescent="0.25">
      <c r="B95" s="665">
        <v>313100.924</v>
      </c>
      <c r="C95" s="666" t="s">
        <v>1211</v>
      </c>
      <c r="D95" s="667">
        <v>7700</v>
      </c>
      <c r="E95" s="667">
        <v>7380</v>
      </c>
      <c r="F95" s="667">
        <f t="shared" si="40"/>
        <v>670.90909090909088</v>
      </c>
      <c r="G95" s="667">
        <f t="shared" si="36"/>
        <v>8050.909090909091</v>
      </c>
      <c r="H95" s="667">
        <v>7700</v>
      </c>
      <c r="I95" s="667">
        <v>4250</v>
      </c>
      <c r="J95" s="667">
        <v>7700</v>
      </c>
      <c r="K95" s="948">
        <v>8051</v>
      </c>
      <c r="L95" s="964"/>
      <c r="M95" s="493" t="s">
        <v>2040</v>
      </c>
      <c r="N95" s="514">
        <f t="shared" si="35"/>
        <v>351</v>
      </c>
      <c r="O95" s="968">
        <f t="shared" si="37"/>
        <v>351</v>
      </c>
      <c r="P95" s="516">
        <v>6356</v>
      </c>
      <c r="Q95" s="516">
        <v>8535</v>
      </c>
      <c r="R95" s="516">
        <v>8500</v>
      </c>
      <c r="S95" s="516">
        <v>8500</v>
      </c>
    </row>
    <row r="96" spans="2:19" ht="15.6" customHeight="1" x14ac:dyDescent="0.25">
      <c r="B96" s="685">
        <v>317500.92</v>
      </c>
      <c r="C96" s="679" t="s">
        <v>3292</v>
      </c>
      <c r="D96" s="610">
        <v>95000</v>
      </c>
      <c r="E96" s="610">
        <v>95988</v>
      </c>
      <c r="F96" s="667">
        <f t="shared" si="40"/>
        <v>8726.181818181818</v>
      </c>
      <c r="G96" s="667">
        <f t="shared" si="36"/>
        <v>104714.18181818182</v>
      </c>
      <c r="H96" s="610">
        <v>75000</v>
      </c>
      <c r="I96" s="667">
        <v>-7186</v>
      </c>
      <c r="J96" s="610">
        <v>75000</v>
      </c>
      <c r="K96" s="948">
        <v>75000</v>
      </c>
      <c r="L96" s="964"/>
      <c r="M96" s="493">
        <v>75000</v>
      </c>
      <c r="N96" s="514">
        <f t="shared" si="35"/>
        <v>0</v>
      </c>
      <c r="O96" s="968">
        <f t="shared" si="37"/>
        <v>0</v>
      </c>
      <c r="P96" s="516">
        <v>3169</v>
      </c>
      <c r="Q96" s="516">
        <v>3169</v>
      </c>
      <c r="R96" s="516">
        <f>1300*0.8*49</f>
        <v>50960</v>
      </c>
      <c r="S96" s="516">
        <f>1300*0.8*49</f>
        <v>50960</v>
      </c>
    </row>
    <row r="97" spans="2:19" ht="15.6" hidden="1" customHeight="1" x14ac:dyDescent="0.25">
      <c r="B97" s="685">
        <v>313140.42</v>
      </c>
      <c r="C97" s="679" t="s">
        <v>1212</v>
      </c>
      <c r="D97" s="610">
        <v>0</v>
      </c>
      <c r="E97" s="610">
        <v>0</v>
      </c>
      <c r="F97" s="667">
        <f t="shared" si="40"/>
        <v>0</v>
      </c>
      <c r="G97" s="667">
        <f t="shared" si="36"/>
        <v>0</v>
      </c>
      <c r="H97" s="610">
        <v>0</v>
      </c>
      <c r="I97" s="667">
        <v>0</v>
      </c>
      <c r="J97" s="610">
        <v>0</v>
      </c>
      <c r="K97" s="948">
        <f t="shared" si="38"/>
        <v>0</v>
      </c>
      <c r="L97" s="964"/>
      <c r="N97" s="514">
        <f t="shared" si="35"/>
        <v>0</v>
      </c>
      <c r="O97" s="968">
        <f t="shared" si="37"/>
        <v>0</v>
      </c>
      <c r="P97" s="516">
        <v>0</v>
      </c>
      <c r="Q97" s="516">
        <f t="shared" ref="Q97:Q114" si="41">P97/9*12</f>
        <v>0</v>
      </c>
      <c r="R97" s="516">
        <v>0</v>
      </c>
      <c r="S97" s="516">
        <v>0</v>
      </c>
    </row>
    <row r="98" spans="2:19" ht="15.6" customHeight="1" x14ac:dyDescent="0.25">
      <c r="B98" s="665">
        <v>313200.92</v>
      </c>
      <c r="C98" s="666" t="s">
        <v>1213</v>
      </c>
      <c r="D98" s="667">
        <v>80000</v>
      </c>
      <c r="E98" s="667">
        <v>70733</v>
      </c>
      <c r="F98" s="667">
        <f t="shared" si="40"/>
        <v>6430.272727272727</v>
      </c>
      <c r="G98" s="667">
        <f t="shared" si="36"/>
        <v>77163.272727272721</v>
      </c>
      <c r="H98" s="667">
        <v>80000</v>
      </c>
      <c r="I98" s="667">
        <v>41059</v>
      </c>
      <c r="J98" s="667">
        <v>80000</v>
      </c>
      <c r="K98" s="948">
        <f t="shared" si="38"/>
        <v>82118</v>
      </c>
      <c r="L98" s="964"/>
      <c r="N98" s="514">
        <f t="shared" si="35"/>
        <v>2118</v>
      </c>
      <c r="O98" s="968">
        <f t="shared" si="37"/>
        <v>2118</v>
      </c>
      <c r="P98" s="516">
        <v>60522</v>
      </c>
      <c r="Q98" s="516">
        <v>85422</v>
      </c>
      <c r="R98" s="516">
        <v>81000</v>
      </c>
      <c r="S98" s="516">
        <v>81000</v>
      </c>
    </row>
    <row r="99" spans="2:19" ht="15.6" customHeight="1" x14ac:dyDescent="0.25">
      <c r="B99" s="665">
        <v>313200.92099999997</v>
      </c>
      <c r="C99" s="666" t="s">
        <v>1214</v>
      </c>
      <c r="D99" s="667">
        <v>75000</v>
      </c>
      <c r="E99" s="667">
        <v>70859</v>
      </c>
      <c r="F99" s="667">
        <f t="shared" si="40"/>
        <v>6441.727272727273</v>
      </c>
      <c r="G99" s="667">
        <f t="shared" si="36"/>
        <v>77300.727272727279</v>
      </c>
      <c r="H99" s="667">
        <v>75000</v>
      </c>
      <c r="I99" s="667">
        <v>42905</v>
      </c>
      <c r="J99" s="667">
        <v>75000</v>
      </c>
      <c r="K99" s="948">
        <v>77301</v>
      </c>
      <c r="L99" s="964"/>
      <c r="M99" s="493" t="s">
        <v>2040</v>
      </c>
      <c r="N99" s="514">
        <f t="shared" si="35"/>
        <v>2301</v>
      </c>
      <c r="O99" s="968">
        <f t="shared" si="37"/>
        <v>2301</v>
      </c>
      <c r="P99" s="516">
        <v>116893</v>
      </c>
      <c r="Q99" s="516">
        <v>143472</v>
      </c>
      <c r="R99" s="516">
        <v>156000</v>
      </c>
      <c r="S99" s="516">
        <v>156000</v>
      </c>
    </row>
    <row r="100" spans="2:19" ht="15.6" customHeight="1" x14ac:dyDescent="0.25">
      <c r="B100" s="665">
        <v>313200.92200000002</v>
      </c>
      <c r="C100" s="666" t="s">
        <v>1215</v>
      </c>
      <c r="D100" s="667">
        <v>36300</v>
      </c>
      <c r="E100" s="667">
        <v>36726</v>
      </c>
      <c r="F100" s="667">
        <f t="shared" si="40"/>
        <v>3338.7272727272725</v>
      </c>
      <c r="G100" s="667">
        <f t="shared" si="36"/>
        <v>40064.727272727272</v>
      </c>
      <c r="H100" s="667">
        <v>36300</v>
      </c>
      <c r="I100" s="667">
        <v>21319</v>
      </c>
      <c r="J100" s="667">
        <v>36300</v>
      </c>
      <c r="K100" s="948">
        <v>40065</v>
      </c>
      <c r="L100" s="964"/>
      <c r="M100" s="493" t="s">
        <v>2040</v>
      </c>
      <c r="N100" s="514">
        <f t="shared" si="35"/>
        <v>3765</v>
      </c>
      <c r="O100" s="968">
        <f t="shared" si="37"/>
        <v>3765</v>
      </c>
      <c r="P100" s="516">
        <v>31425</v>
      </c>
      <c r="Q100" s="516">
        <v>41441</v>
      </c>
      <c r="R100" s="516">
        <v>42000</v>
      </c>
      <c r="S100" s="516">
        <v>42000</v>
      </c>
    </row>
    <row r="101" spans="2:19" ht="15.6" customHeight="1" x14ac:dyDescent="0.25">
      <c r="B101" s="690">
        <v>313203.92</v>
      </c>
      <c r="C101" s="691" t="s">
        <v>1216</v>
      </c>
      <c r="D101" s="610">
        <v>15000</v>
      </c>
      <c r="E101" s="610">
        <v>15052</v>
      </c>
      <c r="F101" s="667">
        <f t="shared" si="40"/>
        <v>1368.3636363636363</v>
      </c>
      <c r="G101" s="667">
        <f t="shared" si="36"/>
        <v>16420.363636363636</v>
      </c>
      <c r="H101" s="610">
        <v>15000</v>
      </c>
      <c r="I101" s="667">
        <v>0</v>
      </c>
      <c r="J101" s="610">
        <v>15000</v>
      </c>
      <c r="K101" s="948">
        <v>16420</v>
      </c>
      <c r="L101" s="964"/>
      <c r="M101" s="493" t="s">
        <v>2040</v>
      </c>
      <c r="N101" s="514">
        <f t="shared" si="35"/>
        <v>1420</v>
      </c>
      <c r="O101" s="968">
        <f t="shared" si="37"/>
        <v>1420</v>
      </c>
      <c r="P101" s="516"/>
      <c r="Q101" s="516">
        <f t="shared" si="41"/>
        <v>0</v>
      </c>
      <c r="R101" s="516">
        <v>0</v>
      </c>
      <c r="S101" s="516">
        <v>0</v>
      </c>
    </row>
    <row r="102" spans="2:19" ht="15.6" customHeight="1" x14ac:dyDescent="0.25">
      <c r="B102" s="665">
        <v>313206.40999999997</v>
      </c>
      <c r="C102" s="679" t="s">
        <v>271</v>
      </c>
      <c r="D102" s="610">
        <v>5000</v>
      </c>
      <c r="E102" s="610">
        <v>0</v>
      </c>
      <c r="F102" s="667">
        <f t="shared" si="40"/>
        <v>0</v>
      </c>
      <c r="G102" s="667">
        <f t="shared" si="36"/>
        <v>0</v>
      </c>
      <c r="H102" s="610">
        <v>5000</v>
      </c>
      <c r="I102" s="667">
        <v>0</v>
      </c>
      <c r="J102" s="610">
        <v>5000</v>
      </c>
      <c r="K102" s="948">
        <f t="shared" si="38"/>
        <v>0</v>
      </c>
      <c r="L102" s="964"/>
      <c r="N102" s="514">
        <f t="shared" si="35"/>
        <v>-5000</v>
      </c>
      <c r="O102" s="968">
        <f t="shared" si="37"/>
        <v>-5000</v>
      </c>
      <c r="P102" s="516"/>
      <c r="Q102" s="516">
        <f t="shared" si="41"/>
        <v>0</v>
      </c>
      <c r="R102" s="516">
        <v>0</v>
      </c>
      <c r="S102" s="516">
        <v>0</v>
      </c>
    </row>
    <row r="103" spans="2:19" ht="15.6" customHeight="1" x14ac:dyDescent="0.25">
      <c r="B103" s="665">
        <v>313200.92300000001</v>
      </c>
      <c r="C103" s="666" t="s">
        <v>1217</v>
      </c>
      <c r="D103" s="667">
        <f>30000-5000</f>
        <v>25000</v>
      </c>
      <c r="E103" s="667">
        <v>25611</v>
      </c>
      <c r="F103" s="667">
        <f t="shared" si="40"/>
        <v>2328.2727272727275</v>
      </c>
      <c r="G103" s="667">
        <f t="shared" si="36"/>
        <v>27939.272727272728</v>
      </c>
      <c r="H103" s="667">
        <v>25000</v>
      </c>
      <c r="I103" s="667">
        <v>13077</v>
      </c>
      <c r="J103" s="667">
        <v>25000</v>
      </c>
      <c r="K103" s="948">
        <v>27939</v>
      </c>
      <c r="L103" s="964"/>
      <c r="M103" s="493" t="s">
        <v>2040</v>
      </c>
      <c r="N103" s="514">
        <f t="shared" si="35"/>
        <v>2939</v>
      </c>
      <c r="O103" s="968">
        <f t="shared" si="37"/>
        <v>2939</v>
      </c>
      <c r="P103" s="516">
        <v>21643</v>
      </c>
      <c r="Q103" s="516">
        <v>29577</v>
      </c>
      <c r="R103" s="516">
        <v>29000</v>
      </c>
      <c r="S103" s="516">
        <v>29000</v>
      </c>
    </row>
    <row r="104" spans="2:19" ht="15.6" customHeight="1" x14ac:dyDescent="0.25">
      <c r="B104" s="665">
        <v>313200.924</v>
      </c>
      <c r="C104" s="666" t="s">
        <v>1218</v>
      </c>
      <c r="D104" s="667">
        <v>29000</v>
      </c>
      <c r="E104" s="667">
        <v>24625</v>
      </c>
      <c r="F104" s="667">
        <f t="shared" si="40"/>
        <v>2238.6363636363635</v>
      </c>
      <c r="G104" s="667">
        <f t="shared" si="36"/>
        <v>26863.636363636364</v>
      </c>
      <c r="H104" s="667">
        <v>29000</v>
      </c>
      <c r="I104" s="667">
        <f>-VLOOKUP(C104,'הכנסות לשלפה'!$C$1:$H$246,4,FALSE)</f>
        <v>14907.4</v>
      </c>
      <c r="J104" s="667">
        <v>29000</v>
      </c>
      <c r="K104" s="948">
        <v>26864</v>
      </c>
      <c r="L104" s="964"/>
      <c r="M104" s="493" t="s">
        <v>2040</v>
      </c>
      <c r="N104" s="514">
        <f t="shared" si="35"/>
        <v>-2136</v>
      </c>
      <c r="O104" s="968">
        <f t="shared" si="37"/>
        <v>-2136</v>
      </c>
      <c r="P104" s="516">
        <v>40621</v>
      </c>
      <c r="Q104" s="516">
        <v>49860</v>
      </c>
      <c r="R104" s="516">
        <v>55000</v>
      </c>
      <c r="S104" s="516">
        <v>55000</v>
      </c>
    </row>
    <row r="105" spans="2:19" ht="15.6" customHeight="1" x14ac:dyDescent="0.25">
      <c r="B105" s="665">
        <v>317600.92</v>
      </c>
      <c r="C105" s="666" t="s">
        <v>1219</v>
      </c>
      <c r="D105" s="667">
        <v>70000</v>
      </c>
      <c r="E105" s="667">
        <v>73784</v>
      </c>
      <c r="F105" s="667">
        <f t="shared" si="40"/>
        <v>6707.636363636364</v>
      </c>
      <c r="G105" s="667">
        <f t="shared" si="36"/>
        <v>80491.636363636368</v>
      </c>
      <c r="H105" s="667">
        <v>70000</v>
      </c>
      <c r="I105" s="667">
        <v>42823</v>
      </c>
      <c r="J105" s="667">
        <v>70000</v>
      </c>
      <c r="K105" s="948">
        <v>80492</v>
      </c>
      <c r="L105" s="964"/>
      <c r="M105" s="493" t="s">
        <v>2040</v>
      </c>
      <c r="N105" s="514">
        <f t="shared" si="35"/>
        <v>10492</v>
      </c>
      <c r="O105" s="968">
        <f t="shared" si="37"/>
        <v>10492</v>
      </c>
      <c r="P105" s="516">
        <v>63126</v>
      </c>
      <c r="Q105" s="516">
        <v>83253</v>
      </c>
      <c r="R105" s="516">
        <v>84000</v>
      </c>
      <c r="S105" s="516">
        <v>84000</v>
      </c>
    </row>
    <row r="106" spans="2:19" ht="15.6" customHeight="1" x14ac:dyDescent="0.25">
      <c r="B106" s="665">
        <v>317600.92099999997</v>
      </c>
      <c r="C106" s="679" t="s">
        <v>1220</v>
      </c>
      <c r="D106" s="610">
        <v>14500</v>
      </c>
      <c r="E106" s="610">
        <v>11521</v>
      </c>
      <c r="F106" s="667">
        <f t="shared" si="40"/>
        <v>1047.3636363636363</v>
      </c>
      <c r="G106" s="667">
        <f t="shared" si="36"/>
        <v>12568.363636363636</v>
      </c>
      <c r="H106" s="610">
        <v>13500</v>
      </c>
      <c r="I106" s="667">
        <v>0</v>
      </c>
      <c r="J106" s="610">
        <v>13500</v>
      </c>
      <c r="K106" s="948">
        <v>68500</v>
      </c>
      <c r="L106" s="964"/>
      <c r="M106" s="493">
        <v>68500</v>
      </c>
      <c r="N106" s="514">
        <f t="shared" si="35"/>
        <v>55000</v>
      </c>
      <c r="O106" s="968">
        <f t="shared" si="37"/>
        <v>55000</v>
      </c>
      <c r="P106" s="516">
        <v>51117</v>
      </c>
      <c r="Q106" s="516">
        <v>60998</v>
      </c>
      <c r="R106" s="516">
        <v>70000</v>
      </c>
      <c r="S106" s="516">
        <v>70000</v>
      </c>
    </row>
    <row r="107" spans="2:19" ht="15.6" customHeight="1" x14ac:dyDescent="0.25">
      <c r="B107" s="665">
        <v>313214.92</v>
      </c>
      <c r="C107" s="666" t="s">
        <v>1221</v>
      </c>
      <c r="D107" s="667">
        <v>2000</v>
      </c>
      <c r="E107" s="667">
        <v>0</v>
      </c>
      <c r="F107" s="667">
        <f t="shared" si="40"/>
        <v>0</v>
      </c>
      <c r="G107" s="667">
        <f t="shared" si="36"/>
        <v>0</v>
      </c>
      <c r="H107" s="667">
        <v>2000</v>
      </c>
      <c r="I107" s="667">
        <v>0</v>
      </c>
      <c r="J107" s="667">
        <v>2000</v>
      </c>
      <c r="K107" s="948">
        <v>2000</v>
      </c>
      <c r="L107" s="964"/>
      <c r="M107" s="493">
        <v>2000</v>
      </c>
      <c r="N107" s="514">
        <f t="shared" si="35"/>
        <v>0</v>
      </c>
      <c r="O107" s="968">
        <f t="shared" si="37"/>
        <v>0</v>
      </c>
      <c r="P107" s="516"/>
      <c r="Q107" s="516">
        <f t="shared" si="41"/>
        <v>0</v>
      </c>
      <c r="R107" s="516">
        <v>0</v>
      </c>
      <c r="S107" s="516">
        <v>0</v>
      </c>
    </row>
    <row r="108" spans="2:19" ht="15.6" customHeight="1" x14ac:dyDescent="0.25">
      <c r="B108" s="665">
        <v>317600.92200000002</v>
      </c>
      <c r="C108" s="681" t="s">
        <v>1764</v>
      </c>
      <c r="D108" s="667">
        <v>17000</v>
      </c>
      <c r="E108" s="667">
        <v>21605</v>
      </c>
      <c r="F108" s="667">
        <f t="shared" si="40"/>
        <v>1964.090909090909</v>
      </c>
      <c r="G108" s="667">
        <f t="shared" si="36"/>
        <v>23569.090909090908</v>
      </c>
      <c r="H108" s="667">
        <v>17000</v>
      </c>
      <c r="I108" s="667">
        <v>46</v>
      </c>
      <c r="J108" s="667">
        <v>17000</v>
      </c>
      <c r="K108" s="948">
        <v>17000</v>
      </c>
      <c r="L108" s="964"/>
      <c r="M108" s="493">
        <v>17000</v>
      </c>
      <c r="N108" s="514">
        <f t="shared" si="35"/>
        <v>0</v>
      </c>
      <c r="O108" s="968">
        <f t="shared" si="37"/>
        <v>0</v>
      </c>
      <c r="P108" s="516">
        <v>8453</v>
      </c>
      <c r="Q108" s="516">
        <v>58069</v>
      </c>
      <c r="R108" s="516">
        <v>11000</v>
      </c>
      <c r="S108" s="516">
        <v>11000</v>
      </c>
    </row>
    <row r="109" spans="2:19" ht="15.6" customHeight="1" x14ac:dyDescent="0.25">
      <c r="B109" s="665">
        <v>313200.92499999999</v>
      </c>
      <c r="C109" s="681" t="s">
        <v>1222</v>
      </c>
      <c r="D109" s="610">
        <v>200000</v>
      </c>
      <c r="E109" s="610">
        <v>188736</v>
      </c>
      <c r="F109" s="667">
        <f t="shared" si="40"/>
        <v>17157.81818181818</v>
      </c>
      <c r="G109" s="667">
        <f t="shared" si="36"/>
        <v>205893.81818181818</v>
      </c>
      <c r="H109" s="610">
        <v>200000</v>
      </c>
      <c r="I109" s="667">
        <f>-VLOOKUP(C109,'הכנסות לשלפה'!$C$1:$H$246,4,FALSE)</f>
        <v>97780.2</v>
      </c>
      <c r="J109" s="610">
        <v>200000</v>
      </c>
      <c r="K109" s="948">
        <v>200000</v>
      </c>
      <c r="L109" s="964"/>
      <c r="M109" s="493">
        <v>200000</v>
      </c>
      <c r="N109" s="514">
        <f t="shared" si="35"/>
        <v>0</v>
      </c>
      <c r="O109" s="968">
        <f t="shared" si="37"/>
        <v>0</v>
      </c>
      <c r="P109" s="516">
        <v>150600</v>
      </c>
      <c r="Q109" s="516">
        <v>218816</v>
      </c>
      <c r="R109" s="516">
        <v>215000</v>
      </c>
      <c r="S109" s="516">
        <v>215000</v>
      </c>
    </row>
    <row r="110" spans="2:19" ht="15.6" customHeight="1" x14ac:dyDescent="0.25">
      <c r="B110" s="685">
        <v>313200.92599999998</v>
      </c>
      <c r="C110" s="692" t="s">
        <v>1223</v>
      </c>
      <c r="D110" s="610">
        <v>30000</v>
      </c>
      <c r="E110" s="610">
        <v>39186</v>
      </c>
      <c r="F110" s="667">
        <f t="shared" si="40"/>
        <v>3562.3636363636365</v>
      </c>
      <c r="G110" s="667">
        <f t="shared" si="36"/>
        <v>42748.36363636364</v>
      </c>
      <c r="H110" s="610">
        <v>30000</v>
      </c>
      <c r="I110" s="667">
        <v>42400</v>
      </c>
      <c r="J110" s="610">
        <v>30000</v>
      </c>
      <c r="K110" s="948">
        <v>42748</v>
      </c>
      <c r="L110" s="964"/>
      <c r="M110" s="493" t="s">
        <v>2040</v>
      </c>
      <c r="N110" s="514">
        <f t="shared" si="35"/>
        <v>12748</v>
      </c>
      <c r="O110" s="968">
        <f t="shared" si="37"/>
        <v>12748</v>
      </c>
      <c r="P110" s="516">
        <v>54606</v>
      </c>
      <c r="Q110" s="516">
        <v>84794</v>
      </c>
      <c r="R110" s="516">
        <v>73000</v>
      </c>
      <c r="S110" s="516">
        <v>73000</v>
      </c>
    </row>
    <row r="111" spans="2:19" ht="15.6" customHeight="1" x14ac:dyDescent="0.25">
      <c r="B111" s="665">
        <v>313200.92700000003</v>
      </c>
      <c r="C111" s="666" t="s">
        <v>1224</v>
      </c>
      <c r="D111" s="667">
        <v>195000</v>
      </c>
      <c r="E111" s="667">
        <v>188736</v>
      </c>
      <c r="F111" s="667">
        <f t="shared" si="40"/>
        <v>17157.81818181818</v>
      </c>
      <c r="G111" s="667">
        <f t="shared" si="36"/>
        <v>205893.81818181818</v>
      </c>
      <c r="H111" s="667">
        <v>195000</v>
      </c>
      <c r="I111" s="667">
        <v>97780</v>
      </c>
      <c r="J111" s="667">
        <v>195000</v>
      </c>
      <c r="K111" s="948">
        <f t="shared" si="38"/>
        <v>195560</v>
      </c>
      <c r="L111" s="964"/>
      <c r="N111" s="514">
        <f t="shared" si="35"/>
        <v>560</v>
      </c>
      <c r="O111" s="968">
        <f t="shared" si="37"/>
        <v>560</v>
      </c>
      <c r="P111" s="516">
        <v>148784</v>
      </c>
      <c r="Q111" s="516">
        <v>205829</v>
      </c>
      <c r="R111" s="516">
        <v>198000</v>
      </c>
      <c r="S111" s="516">
        <v>198000</v>
      </c>
    </row>
    <row r="112" spans="2:19" ht="15.6" customHeight="1" x14ac:dyDescent="0.25">
      <c r="B112" s="665">
        <v>313200.92800000001</v>
      </c>
      <c r="C112" s="679" t="s">
        <v>1225</v>
      </c>
      <c r="D112" s="610">
        <v>300000</v>
      </c>
      <c r="E112" s="610">
        <v>187083</v>
      </c>
      <c r="F112" s="667">
        <f t="shared" si="40"/>
        <v>17007.545454545456</v>
      </c>
      <c r="G112" s="667">
        <f t="shared" si="36"/>
        <v>204090.54545454547</v>
      </c>
      <c r="H112" s="610">
        <f>300000+120000</f>
        <v>420000</v>
      </c>
      <c r="I112" s="667">
        <v>125655</v>
      </c>
      <c r="J112" s="610">
        <f>300000+120000</f>
        <v>420000</v>
      </c>
      <c r="K112" s="948">
        <f t="shared" si="38"/>
        <v>251310</v>
      </c>
      <c r="L112" s="964"/>
      <c r="N112" s="514">
        <f t="shared" si="35"/>
        <v>-168690</v>
      </c>
      <c r="O112" s="968">
        <f t="shared" si="37"/>
        <v>-168690</v>
      </c>
      <c r="P112" s="516">
        <v>167540</v>
      </c>
      <c r="Q112" s="516">
        <v>177475</v>
      </c>
      <c r="R112" s="516">
        <v>224000</v>
      </c>
      <c r="S112" s="516">
        <v>224000</v>
      </c>
    </row>
    <row r="113" spans="2:19" ht="15.6" customHeight="1" x14ac:dyDescent="0.25">
      <c r="B113" s="665">
        <v>313200.929</v>
      </c>
      <c r="C113" s="679" t="s">
        <v>2029</v>
      </c>
      <c r="D113" s="610"/>
      <c r="E113" s="610"/>
      <c r="F113" s="667"/>
      <c r="G113" s="667"/>
      <c r="H113" s="610"/>
      <c r="I113" s="667">
        <v>4648</v>
      </c>
      <c r="J113" s="610"/>
      <c r="K113" s="948">
        <f t="shared" si="38"/>
        <v>9296</v>
      </c>
      <c r="L113" s="964"/>
      <c r="N113" s="514">
        <f t="shared" si="35"/>
        <v>9296</v>
      </c>
      <c r="O113" s="968">
        <f t="shared" si="37"/>
        <v>9296</v>
      </c>
      <c r="P113" s="516">
        <v>6167</v>
      </c>
      <c r="Q113" s="516">
        <v>6197</v>
      </c>
      <c r="R113" s="516">
        <v>8200</v>
      </c>
      <c r="S113" s="516">
        <v>8200</v>
      </c>
    </row>
    <row r="114" spans="2:19" ht="15.6" customHeight="1" x14ac:dyDescent="0.25">
      <c r="B114" s="665">
        <v>313210.92</v>
      </c>
      <c r="C114" s="679" t="s">
        <v>1930</v>
      </c>
      <c r="D114" s="610"/>
      <c r="E114" s="610"/>
      <c r="F114" s="667"/>
      <c r="G114" s="667"/>
      <c r="H114" s="610"/>
      <c r="I114" s="667">
        <v>10000</v>
      </c>
      <c r="J114" s="610"/>
      <c r="K114" s="948">
        <f t="shared" si="38"/>
        <v>20000</v>
      </c>
      <c r="L114" s="964"/>
      <c r="N114" s="514">
        <f t="shared" si="35"/>
        <v>20000</v>
      </c>
      <c r="O114" s="968">
        <f t="shared" si="37"/>
        <v>20000</v>
      </c>
      <c r="P114" s="516">
        <v>14999</v>
      </c>
      <c r="Q114" s="516">
        <f t="shared" si="41"/>
        <v>19998.666666666668</v>
      </c>
      <c r="R114" s="516">
        <v>20000</v>
      </c>
      <c r="S114" s="516">
        <v>20000</v>
      </c>
    </row>
    <row r="115" spans="2:19" ht="15.6" customHeight="1" x14ac:dyDescent="0.25">
      <c r="B115" s="665">
        <v>313800.42</v>
      </c>
      <c r="C115" s="679" t="s">
        <v>1871</v>
      </c>
      <c r="D115" s="610"/>
      <c r="E115" s="610"/>
      <c r="F115" s="667"/>
      <c r="G115" s="667"/>
      <c r="H115" s="610"/>
      <c r="I115" s="667"/>
      <c r="J115" s="610"/>
      <c r="K115" s="948"/>
      <c r="L115" s="964"/>
      <c r="N115" s="514"/>
      <c r="O115" s="968"/>
      <c r="P115" s="516">
        <v>31055</v>
      </c>
      <c r="Q115" s="516">
        <v>34830</v>
      </c>
      <c r="R115" s="516">
        <v>41500</v>
      </c>
      <c r="S115" s="516">
        <v>41500</v>
      </c>
    </row>
    <row r="116" spans="2:19" ht="15.6" customHeight="1" x14ac:dyDescent="0.25">
      <c r="B116" s="665">
        <v>313800.92</v>
      </c>
      <c r="C116" s="666" t="s">
        <v>1226</v>
      </c>
      <c r="D116" s="667">
        <v>350000</v>
      </c>
      <c r="E116" s="667">
        <f>286537+1161+5000+4335</f>
        <v>297033</v>
      </c>
      <c r="F116" s="667">
        <f t="shared" si="40"/>
        <v>27003</v>
      </c>
      <c r="G116" s="667">
        <f t="shared" si="36"/>
        <v>324036</v>
      </c>
      <c r="H116" s="667">
        <v>350000</v>
      </c>
      <c r="I116" s="667">
        <f>-VLOOKUP(C116,'הכנסות לשלפה'!$C$1:$H$246,4,FALSE)</f>
        <v>394770</v>
      </c>
      <c r="J116" s="667">
        <v>350000</v>
      </c>
      <c r="K116" s="948">
        <v>395000</v>
      </c>
      <c r="L116" s="964"/>
      <c r="M116" s="493">
        <v>395000</v>
      </c>
      <c r="N116" s="514">
        <f t="shared" si="35"/>
        <v>45000</v>
      </c>
      <c r="O116" s="968">
        <f t="shared" si="37"/>
        <v>45000</v>
      </c>
      <c r="P116" s="516">
        <v>394770</v>
      </c>
      <c r="Q116" s="516">
        <v>395910</v>
      </c>
      <c r="R116" s="516">
        <v>426000</v>
      </c>
      <c r="S116" s="516">
        <v>426000</v>
      </c>
    </row>
    <row r="117" spans="2:19" ht="15.6" customHeight="1" x14ac:dyDescent="0.25">
      <c r="B117" s="665">
        <v>313800.92099999997</v>
      </c>
      <c r="C117" s="666" t="s">
        <v>3250</v>
      </c>
      <c r="D117" s="667"/>
      <c r="E117" s="667"/>
      <c r="F117" s="667"/>
      <c r="G117" s="667"/>
      <c r="H117" s="667"/>
      <c r="I117" s="667"/>
      <c r="J117" s="667"/>
      <c r="K117" s="948"/>
      <c r="L117" s="964"/>
      <c r="N117" s="514"/>
      <c r="O117" s="968"/>
      <c r="P117" s="516"/>
      <c r="Q117" s="516"/>
      <c r="R117" s="516">
        <v>600000</v>
      </c>
      <c r="S117" s="516">
        <v>600000</v>
      </c>
    </row>
    <row r="118" spans="2:19" s="407" customFormat="1" ht="15.6" customHeight="1" x14ac:dyDescent="0.25">
      <c r="B118" s="668">
        <v>313</v>
      </c>
      <c r="C118" s="669" t="s">
        <v>706</v>
      </c>
      <c r="D118" s="670">
        <f>SUM(D91:D116)</f>
        <v>2853500</v>
      </c>
      <c r="E118" s="670">
        <f>SUM(E91:E116)</f>
        <v>2738560</v>
      </c>
      <c r="F118" s="670">
        <f>SUM(F91:F116)</f>
        <v>248960</v>
      </c>
      <c r="G118" s="670">
        <f>SUM(G91:G116)</f>
        <v>2987520.0000000005</v>
      </c>
      <c r="H118" s="670">
        <f>SUM(H91:H116)</f>
        <v>2952500</v>
      </c>
      <c r="I118" s="670">
        <f>I91+I92+I93+I94+I95+I96+I98+I100+I99+I101+I102+I103+I104+I105+I106+I107+I108+I109+I110+I111+I112+I116+I113+I114</f>
        <v>1686008.12</v>
      </c>
      <c r="J118" s="670">
        <f t="shared" ref="J118:Q118" si="42">J91+J92+J93+J94+J95+J96+J98+J100+J99+J101+J102+J103+J104+J105+J106+J107+J108+J109+J110+J111+J112+J116+J113+J114</f>
        <v>2952500</v>
      </c>
      <c r="K118" s="949">
        <f t="shared" si="42"/>
        <v>3145376</v>
      </c>
      <c r="L118" s="949">
        <f t="shared" si="42"/>
        <v>0</v>
      </c>
      <c r="M118" s="949" t="e">
        <f t="shared" si="42"/>
        <v>#VALUE!</v>
      </c>
      <c r="N118" s="949">
        <f t="shared" si="42"/>
        <v>192876</v>
      </c>
      <c r="O118" s="949">
        <f t="shared" si="42"/>
        <v>192876</v>
      </c>
      <c r="P118" s="949">
        <f t="shared" si="42"/>
        <v>2455337</v>
      </c>
      <c r="Q118" s="1052">
        <f t="shared" si="42"/>
        <v>3168156.6666666665</v>
      </c>
      <c r="R118" s="1052">
        <f>R91+R92+R93+R94+R95+R96+R98+R100+R99+R101+R102+R103+R104+R105+R106+R107+R108+R109+R110+R111+R112+R116+R113+R114+R115+R117</f>
        <v>3907160</v>
      </c>
      <c r="S118" s="1052">
        <f>S91+S92+S93+S94+S95+S96+S98+S100+S99+S101+S102+S103+S104+S105+S106+S107+S108+S109+S110+S111+S112+S116+S113+S114+S115+S117</f>
        <v>3907160</v>
      </c>
    </row>
    <row r="119" spans="2:19" ht="15.6" customHeight="1" x14ac:dyDescent="0.25">
      <c r="B119" s="671"/>
      <c r="C119" s="672"/>
      <c r="D119" s="667"/>
      <c r="E119" s="667"/>
      <c r="F119" s="667"/>
      <c r="G119" s="667"/>
      <c r="H119" s="667"/>
      <c r="I119" s="667"/>
      <c r="J119" s="667"/>
      <c r="K119" s="948"/>
      <c r="L119" s="964"/>
      <c r="N119" s="514">
        <f t="shared" si="35"/>
        <v>0</v>
      </c>
      <c r="O119" s="968">
        <f t="shared" si="37"/>
        <v>0</v>
      </c>
      <c r="P119" s="516"/>
      <c r="Q119" s="516"/>
      <c r="R119" s="516"/>
      <c r="S119" s="516"/>
    </row>
    <row r="120" spans="2:19" s="407" customFormat="1" ht="15.6" customHeight="1" x14ac:dyDescent="0.25">
      <c r="B120" s="665">
        <v>314000.92</v>
      </c>
      <c r="C120" s="681" t="s">
        <v>1227</v>
      </c>
      <c r="D120" s="667">
        <f>1247768+130000</f>
        <v>1377768</v>
      </c>
      <c r="E120" s="667">
        <v>1247768</v>
      </c>
      <c r="F120" s="667">
        <f t="shared" ref="F120" si="43">E120/11</f>
        <v>113433.45454545454</v>
      </c>
      <c r="G120" s="667">
        <f t="shared" si="36"/>
        <v>1361201.4545454546</v>
      </c>
      <c r="H120" s="667">
        <f>1147000+38000</f>
        <v>1185000</v>
      </c>
      <c r="I120" s="667">
        <v>762298</v>
      </c>
      <c r="J120" s="667">
        <v>1053000</v>
      </c>
      <c r="K120" s="948">
        <f t="shared" si="38"/>
        <v>1524596</v>
      </c>
      <c r="L120" s="964"/>
      <c r="N120" s="514">
        <f t="shared" si="35"/>
        <v>339596</v>
      </c>
      <c r="O120" s="968">
        <f t="shared" si="37"/>
        <v>339596</v>
      </c>
      <c r="P120" s="516">
        <f>1121554+728</f>
        <v>1122282</v>
      </c>
      <c r="Q120" s="516">
        <f>1299460+804</f>
        <v>1300264</v>
      </c>
      <c r="R120" s="516">
        <v>1496400</v>
      </c>
      <c r="S120" s="516">
        <v>0</v>
      </c>
    </row>
    <row r="121" spans="2:19" s="407" customFormat="1" ht="15.6" customHeight="1" x14ac:dyDescent="0.25">
      <c r="B121" s="693" t="s">
        <v>3324</v>
      </c>
      <c r="C121" s="694" t="s">
        <v>1228</v>
      </c>
      <c r="D121" s="695">
        <f>SUM(D120:D120)</f>
        <v>1377768</v>
      </c>
      <c r="E121" s="695">
        <f t="shared" ref="E121:S121" si="44">SUM(E120:E120)</f>
        <v>1247768</v>
      </c>
      <c r="F121" s="695">
        <f t="shared" si="44"/>
        <v>113433.45454545454</v>
      </c>
      <c r="G121" s="695">
        <f t="shared" si="44"/>
        <v>1361201.4545454546</v>
      </c>
      <c r="H121" s="695">
        <f t="shared" si="44"/>
        <v>1185000</v>
      </c>
      <c r="I121" s="695">
        <f t="shared" si="44"/>
        <v>762298</v>
      </c>
      <c r="J121" s="695">
        <f t="shared" si="44"/>
        <v>1053000</v>
      </c>
      <c r="K121" s="949">
        <f t="shared" si="44"/>
        <v>1524596</v>
      </c>
      <c r="L121" s="949">
        <f t="shared" si="44"/>
        <v>0</v>
      </c>
      <c r="M121" s="949">
        <f t="shared" si="44"/>
        <v>0</v>
      </c>
      <c r="N121" s="949">
        <f t="shared" si="44"/>
        <v>339596</v>
      </c>
      <c r="O121" s="1040">
        <f t="shared" si="44"/>
        <v>339596</v>
      </c>
      <c r="P121" s="1052">
        <f t="shared" si="44"/>
        <v>1122282</v>
      </c>
      <c r="Q121" s="1052">
        <f t="shared" si="44"/>
        <v>1300264</v>
      </c>
      <c r="R121" s="1052">
        <f t="shared" si="44"/>
        <v>1496400</v>
      </c>
      <c r="S121" s="1052">
        <f t="shared" si="44"/>
        <v>0</v>
      </c>
    </row>
    <row r="122" spans="2:19" s="407" customFormat="1" ht="15.6" customHeight="1" x14ac:dyDescent="0.25">
      <c r="B122" s="693"/>
      <c r="C122" s="694"/>
      <c r="D122" s="695"/>
      <c r="E122" s="695"/>
      <c r="F122" s="667"/>
      <c r="G122" s="667"/>
      <c r="H122" s="695"/>
      <c r="I122" s="667"/>
      <c r="J122" s="695"/>
      <c r="K122" s="948"/>
      <c r="L122" s="964"/>
      <c r="N122" s="514">
        <f t="shared" si="35"/>
        <v>0</v>
      </c>
      <c r="O122" s="968">
        <f t="shared" si="37"/>
        <v>0</v>
      </c>
      <c r="P122" s="1056"/>
      <c r="Q122" s="1056"/>
      <c r="R122" s="1056"/>
      <c r="S122" s="1056"/>
    </row>
    <row r="123" spans="2:19" s="407" customFormat="1" ht="15.6" customHeight="1" x14ac:dyDescent="0.25">
      <c r="B123" s="685">
        <v>315000.92</v>
      </c>
      <c r="C123" s="692" t="s">
        <v>1229</v>
      </c>
      <c r="D123" s="610">
        <f>444000*0.8</f>
        <v>355200</v>
      </c>
      <c r="E123" s="610">
        <v>195199</v>
      </c>
      <c r="F123" s="667">
        <f t="shared" ref="F123:F125" si="45">E123/11</f>
        <v>17745.363636363636</v>
      </c>
      <c r="G123" s="667">
        <f t="shared" si="36"/>
        <v>212944.36363636365</v>
      </c>
      <c r="H123" s="610">
        <f>355000/12*8</f>
        <v>236666.66666666666</v>
      </c>
      <c r="I123" s="667">
        <v>343348</v>
      </c>
      <c r="J123" s="610">
        <v>0</v>
      </c>
      <c r="K123" s="948">
        <v>420000</v>
      </c>
      <c r="L123" s="964"/>
      <c r="M123" s="407" t="s">
        <v>2041</v>
      </c>
      <c r="N123" s="514">
        <f t="shared" si="35"/>
        <v>183333.33333333334</v>
      </c>
      <c r="O123" s="968">
        <f t="shared" si="37"/>
        <v>183333.33333333334</v>
      </c>
      <c r="P123" s="516">
        <v>517702</v>
      </c>
      <c r="Q123" s="516">
        <v>462589</v>
      </c>
      <c r="R123" s="511">
        <v>0</v>
      </c>
      <c r="S123" s="516">
        <f>R123</f>
        <v>0</v>
      </c>
    </row>
    <row r="124" spans="2:19" s="407" customFormat="1" ht="15.6" customHeight="1" x14ac:dyDescent="0.25">
      <c r="B124" s="685">
        <v>315100.92</v>
      </c>
      <c r="C124" s="692" t="s">
        <v>1202</v>
      </c>
      <c r="D124" s="610"/>
      <c r="E124" s="610"/>
      <c r="F124" s="667"/>
      <c r="G124" s="667"/>
      <c r="H124" s="610"/>
      <c r="I124" s="667">
        <v>1002</v>
      </c>
      <c r="J124" s="610"/>
      <c r="K124" s="948">
        <f t="shared" si="38"/>
        <v>2004</v>
      </c>
      <c r="L124" s="964"/>
      <c r="N124" s="514">
        <f t="shared" si="35"/>
        <v>2004</v>
      </c>
      <c r="O124" s="968">
        <f t="shared" si="37"/>
        <v>2004</v>
      </c>
      <c r="P124" s="516">
        <v>1002</v>
      </c>
      <c r="Q124" s="516">
        <v>1002</v>
      </c>
      <c r="R124" s="516">
        <v>1500</v>
      </c>
      <c r="S124" s="516">
        <f t="shared" ref="S124:S126" si="46">R124</f>
        <v>1500</v>
      </c>
    </row>
    <row r="125" spans="2:19" s="407" customFormat="1" ht="15.6" customHeight="1" x14ac:dyDescent="0.25">
      <c r="B125" s="685">
        <v>315500.92</v>
      </c>
      <c r="C125" s="81" t="s">
        <v>1797</v>
      </c>
      <c r="D125" s="610">
        <v>12000</v>
      </c>
      <c r="E125" s="610">
        <v>13562</v>
      </c>
      <c r="F125" s="667">
        <f t="shared" si="45"/>
        <v>1232.909090909091</v>
      </c>
      <c r="G125" s="667">
        <f t="shared" si="36"/>
        <v>14794.909090909092</v>
      </c>
      <c r="H125" s="610">
        <v>12000</v>
      </c>
      <c r="I125" s="667">
        <v>15720</v>
      </c>
      <c r="J125" s="610">
        <v>0</v>
      </c>
      <c r="K125" s="948">
        <v>20000</v>
      </c>
      <c r="L125" s="964"/>
      <c r="M125" s="407">
        <v>20000</v>
      </c>
      <c r="N125" s="514">
        <f t="shared" si="35"/>
        <v>8000</v>
      </c>
      <c r="O125" s="968">
        <f t="shared" si="37"/>
        <v>8000</v>
      </c>
      <c r="P125" s="516">
        <v>23695</v>
      </c>
      <c r="Q125" s="516">
        <v>22228</v>
      </c>
      <c r="R125" s="516">
        <v>0</v>
      </c>
      <c r="S125" s="516">
        <f t="shared" si="46"/>
        <v>0</v>
      </c>
    </row>
    <row r="126" spans="2:19" s="407" customFormat="1" ht="15.6" customHeight="1" x14ac:dyDescent="0.25">
      <c r="B126" s="685">
        <v>315700.92</v>
      </c>
      <c r="C126" s="81" t="s">
        <v>2030</v>
      </c>
      <c r="D126" s="610"/>
      <c r="E126" s="610"/>
      <c r="F126" s="667"/>
      <c r="G126" s="667"/>
      <c r="H126" s="610"/>
      <c r="I126" s="667">
        <v>4166</v>
      </c>
      <c r="J126" s="610"/>
      <c r="K126" s="948">
        <f t="shared" si="38"/>
        <v>8332</v>
      </c>
      <c r="L126" s="964"/>
      <c r="N126" s="514">
        <f t="shared" si="35"/>
        <v>8332</v>
      </c>
      <c r="O126" s="968">
        <f t="shared" si="37"/>
        <v>8332</v>
      </c>
      <c r="P126" s="516">
        <v>6667</v>
      </c>
      <c r="Q126" s="516">
        <v>9166</v>
      </c>
      <c r="R126" s="516">
        <v>9000</v>
      </c>
      <c r="S126" s="516">
        <f t="shared" si="46"/>
        <v>9000</v>
      </c>
    </row>
    <row r="127" spans="2:19" s="407" customFormat="1" ht="15.6" customHeight="1" x14ac:dyDescent="0.25">
      <c r="B127" s="693" t="s">
        <v>3323</v>
      </c>
      <c r="C127" s="694" t="s">
        <v>1230</v>
      </c>
      <c r="D127" s="695">
        <f>SUM(D123:D125)</f>
        <v>367200</v>
      </c>
      <c r="E127" s="695">
        <f t="shared" ref="E127:H127" si="47">SUM(E123:E125)</f>
        <v>208761</v>
      </c>
      <c r="F127" s="695">
        <f t="shared" si="47"/>
        <v>18978.272727272728</v>
      </c>
      <c r="G127" s="695">
        <f t="shared" si="47"/>
        <v>227739.27272727274</v>
      </c>
      <c r="H127" s="695">
        <f t="shared" si="47"/>
        <v>248666.66666666666</v>
      </c>
      <c r="I127" s="695">
        <f>SUM(I123:I126)</f>
        <v>364236</v>
      </c>
      <c r="J127" s="695">
        <f t="shared" ref="J127:S127" si="48">SUM(J123:J126)</f>
        <v>0</v>
      </c>
      <c r="K127" s="949">
        <f t="shared" si="48"/>
        <v>450336</v>
      </c>
      <c r="L127" s="949">
        <f t="shared" si="48"/>
        <v>0</v>
      </c>
      <c r="M127" s="949">
        <f t="shared" si="48"/>
        <v>20000</v>
      </c>
      <c r="N127" s="949">
        <f t="shared" si="48"/>
        <v>201669.33333333334</v>
      </c>
      <c r="O127" s="1040">
        <f t="shared" si="48"/>
        <v>201669.33333333334</v>
      </c>
      <c r="P127" s="1052">
        <f t="shared" si="48"/>
        <v>549066</v>
      </c>
      <c r="Q127" s="1052">
        <f t="shared" si="48"/>
        <v>494985</v>
      </c>
      <c r="R127" s="1052">
        <f t="shared" si="48"/>
        <v>10500</v>
      </c>
      <c r="S127" s="1052">
        <f t="shared" si="48"/>
        <v>10500</v>
      </c>
    </row>
    <row r="128" spans="2:19" ht="15.6" customHeight="1" x14ac:dyDescent="0.25">
      <c r="B128" s="696"/>
      <c r="C128" s="697"/>
      <c r="D128" s="667"/>
      <c r="E128" s="667"/>
      <c r="F128" s="667"/>
      <c r="G128" s="667"/>
      <c r="H128" s="667"/>
      <c r="I128" s="667"/>
      <c r="J128" s="667"/>
      <c r="K128" s="948"/>
      <c r="L128" s="964"/>
      <c r="N128" s="514">
        <f t="shared" si="35"/>
        <v>0</v>
      </c>
      <c r="O128" s="968">
        <f>K128-H128</f>
        <v>0</v>
      </c>
      <c r="P128" s="516"/>
      <c r="Q128" s="516"/>
      <c r="R128" s="516"/>
      <c r="S128" s="516"/>
    </row>
    <row r="129" spans="2:19" ht="15.6" customHeight="1" x14ac:dyDescent="0.25">
      <c r="B129" s="665">
        <v>317100.92</v>
      </c>
      <c r="C129" s="666" t="s">
        <v>1231</v>
      </c>
      <c r="D129" s="667">
        <f>'הוצאות '!E201*0.6+100000</f>
        <v>496000</v>
      </c>
      <c r="E129" s="667">
        <v>529830</v>
      </c>
      <c r="F129" s="667">
        <f t="shared" ref="F129:F148" si="49">E129/11</f>
        <v>48166.36363636364</v>
      </c>
      <c r="G129" s="667">
        <f t="shared" si="36"/>
        <v>577996.36363636365</v>
      </c>
      <c r="H129" s="667">
        <f>'הוצאות '!I201*0.6</f>
        <v>506511.19583999994</v>
      </c>
      <c r="I129" s="667">
        <v>20177</v>
      </c>
      <c r="J129" s="667">
        <f>'הוצאות '!K201*0.6</f>
        <v>509944.8</v>
      </c>
      <c r="K129" s="948">
        <v>577996</v>
      </c>
      <c r="L129" s="964"/>
      <c r="M129" s="493">
        <v>577996</v>
      </c>
      <c r="N129" s="514">
        <f t="shared" si="35"/>
        <v>71484.804160000058</v>
      </c>
      <c r="O129" s="968">
        <f t="shared" si="37"/>
        <v>71484.804160000058</v>
      </c>
      <c r="P129" s="516">
        <v>20177</v>
      </c>
      <c r="Q129" s="516">
        <v>229002</v>
      </c>
      <c r="R129" s="516">
        <f>0.6*'הוצאות '!R201</f>
        <v>553200</v>
      </c>
      <c r="S129" s="516">
        <f>R129</f>
        <v>553200</v>
      </c>
    </row>
    <row r="130" spans="2:19" ht="15.6" customHeight="1" x14ac:dyDescent="0.25">
      <c r="B130" s="685">
        <v>317100.92099999997</v>
      </c>
      <c r="C130" s="679" t="s">
        <v>1232</v>
      </c>
      <c r="D130" s="610">
        <v>45600</v>
      </c>
      <c r="E130" s="610">
        <v>41283</v>
      </c>
      <c r="F130" s="667">
        <f t="shared" si="49"/>
        <v>3753</v>
      </c>
      <c r="G130" s="667">
        <f t="shared" si="36"/>
        <v>45036</v>
      </c>
      <c r="H130" s="610">
        <f>E130*2</f>
        <v>82566</v>
      </c>
      <c r="I130" s="667">
        <f>-VLOOKUP(C130,'הכנסות לשלפה'!$C$1:$H$246,4,FALSE)</f>
        <v>23145</v>
      </c>
      <c r="J130" s="610">
        <v>45600</v>
      </c>
      <c r="K130" s="948">
        <f t="shared" si="38"/>
        <v>46290</v>
      </c>
      <c r="L130" s="964"/>
      <c r="N130" s="514">
        <f t="shared" si="35"/>
        <v>-36276</v>
      </c>
      <c r="O130" s="968">
        <f t="shared" si="37"/>
        <v>-36276</v>
      </c>
      <c r="P130" s="516">
        <v>34373</v>
      </c>
      <c r="Q130" s="516">
        <v>45211</v>
      </c>
      <c r="R130" s="516">
        <v>46000</v>
      </c>
      <c r="S130" s="516">
        <f t="shared" ref="S130:S148" si="50">R130</f>
        <v>46000</v>
      </c>
    </row>
    <row r="131" spans="2:19" ht="15.6" customHeight="1" x14ac:dyDescent="0.25">
      <c r="B131" s="685">
        <v>317100.92200000002</v>
      </c>
      <c r="C131" s="679" t="s">
        <v>2031</v>
      </c>
      <c r="D131" s="610"/>
      <c r="E131" s="610"/>
      <c r="F131" s="667"/>
      <c r="G131" s="667"/>
      <c r="H131" s="610"/>
      <c r="I131" s="667">
        <v>72014</v>
      </c>
      <c r="J131" s="610"/>
      <c r="K131" s="948">
        <f t="shared" si="38"/>
        <v>144028</v>
      </c>
      <c r="L131" s="964"/>
      <c r="M131" s="493">
        <v>0</v>
      </c>
      <c r="N131" s="514">
        <f t="shared" si="35"/>
        <v>144028</v>
      </c>
      <c r="O131" s="968">
        <f t="shared" si="37"/>
        <v>144028</v>
      </c>
      <c r="P131" s="516">
        <v>-276</v>
      </c>
      <c r="Q131" s="516">
        <v>-276</v>
      </c>
      <c r="R131" s="516">
        <v>-500</v>
      </c>
      <c r="S131" s="516">
        <f t="shared" si="50"/>
        <v>-500</v>
      </c>
    </row>
    <row r="132" spans="2:19" ht="15.6" customHeight="1" x14ac:dyDescent="0.25">
      <c r="B132" s="665">
        <v>317100.92300000001</v>
      </c>
      <c r="C132" s="666" t="s">
        <v>1233</v>
      </c>
      <c r="D132" s="667">
        <v>42000</v>
      </c>
      <c r="E132" s="667">
        <v>41492</v>
      </c>
      <c r="F132" s="667">
        <f t="shared" si="49"/>
        <v>3772</v>
      </c>
      <c r="G132" s="667">
        <f t="shared" si="36"/>
        <v>45264</v>
      </c>
      <c r="H132" s="667">
        <v>42000</v>
      </c>
      <c r="I132" s="667">
        <f>-VLOOKUP(C132,'הכנסות לשלפה'!$C$1:$H$246,4,FALSE)</f>
        <v>38270</v>
      </c>
      <c r="J132" s="667">
        <v>42000</v>
      </c>
      <c r="K132" s="948">
        <v>42000</v>
      </c>
      <c r="L132" s="964"/>
      <c r="M132" s="493">
        <v>42000</v>
      </c>
      <c r="N132" s="514">
        <f t="shared" si="35"/>
        <v>0</v>
      </c>
      <c r="O132" s="968">
        <f t="shared" si="37"/>
        <v>0</v>
      </c>
      <c r="P132" s="516">
        <v>38270</v>
      </c>
      <c r="Q132" s="516">
        <v>38270</v>
      </c>
      <c r="R132" s="516">
        <v>51000</v>
      </c>
      <c r="S132" s="516">
        <f t="shared" si="50"/>
        <v>51000</v>
      </c>
    </row>
    <row r="133" spans="2:19" ht="15.6" customHeight="1" x14ac:dyDescent="0.25">
      <c r="B133" s="665">
        <v>317100.924</v>
      </c>
      <c r="C133" s="666" t="s">
        <v>1234</v>
      </c>
      <c r="D133" s="667">
        <v>4800</v>
      </c>
      <c r="E133" s="667">
        <v>4557</v>
      </c>
      <c r="F133" s="667">
        <f t="shared" si="49"/>
        <v>414.27272727272725</v>
      </c>
      <c r="G133" s="667">
        <f t="shared" si="36"/>
        <v>4971.272727272727</v>
      </c>
      <c r="H133" s="667">
        <v>4800</v>
      </c>
      <c r="I133" s="667">
        <v>7161</v>
      </c>
      <c r="J133" s="667">
        <v>4800</v>
      </c>
      <c r="K133" s="948">
        <v>10000</v>
      </c>
      <c r="L133" s="964"/>
      <c r="M133" s="493">
        <v>10000</v>
      </c>
      <c r="N133" s="514">
        <f t="shared" si="35"/>
        <v>5200</v>
      </c>
      <c r="O133" s="968">
        <f t="shared" si="37"/>
        <v>5200</v>
      </c>
      <c r="P133" s="516">
        <v>7161</v>
      </c>
      <c r="Q133" s="516">
        <v>7161</v>
      </c>
      <c r="R133" s="516">
        <v>10000</v>
      </c>
      <c r="S133" s="516">
        <f t="shared" si="50"/>
        <v>10000</v>
      </c>
    </row>
    <row r="134" spans="2:19" ht="15.6" customHeight="1" x14ac:dyDescent="0.25">
      <c r="B134" s="665">
        <v>317200.92</v>
      </c>
      <c r="C134" s="666" t="s">
        <v>1235</v>
      </c>
      <c r="D134" s="667">
        <v>38900</v>
      </c>
      <c r="E134" s="885">
        <v>77335</v>
      </c>
      <c r="F134" s="667">
        <f t="shared" si="49"/>
        <v>7030.454545454545</v>
      </c>
      <c r="G134" s="667">
        <f t="shared" si="36"/>
        <v>84365.454545454544</v>
      </c>
      <c r="H134" s="610">
        <v>58000</v>
      </c>
      <c r="I134" s="667">
        <v>548</v>
      </c>
      <c r="J134" s="610">
        <v>58000</v>
      </c>
      <c r="K134" s="948">
        <v>19148</v>
      </c>
      <c r="L134" s="964"/>
      <c r="M134" s="493">
        <v>19148</v>
      </c>
      <c r="N134" s="514">
        <f t="shared" si="35"/>
        <v>-38852</v>
      </c>
      <c r="O134" s="968">
        <f t="shared" si="37"/>
        <v>-38852</v>
      </c>
      <c r="P134" s="516">
        <v>548</v>
      </c>
      <c r="Q134" s="516">
        <v>25909</v>
      </c>
      <c r="R134" s="516">
        <v>25000</v>
      </c>
      <c r="S134" s="516">
        <f t="shared" si="50"/>
        <v>25000</v>
      </c>
    </row>
    <row r="135" spans="2:19" ht="15.6" customHeight="1" x14ac:dyDescent="0.25">
      <c r="B135" s="665">
        <v>317300.92</v>
      </c>
      <c r="C135" s="666" t="s">
        <v>1236</v>
      </c>
      <c r="D135" s="667">
        <v>616500</v>
      </c>
      <c r="E135" s="667">
        <v>588588</v>
      </c>
      <c r="F135" s="667">
        <f t="shared" si="49"/>
        <v>53508</v>
      </c>
      <c r="G135" s="667">
        <f t="shared" si="36"/>
        <v>642096</v>
      </c>
      <c r="H135" s="667">
        <v>630000</v>
      </c>
      <c r="I135" s="667">
        <v>338907</v>
      </c>
      <c r="J135" s="667">
        <v>630000</v>
      </c>
      <c r="K135" s="948">
        <f t="shared" si="38"/>
        <v>677814</v>
      </c>
      <c r="L135" s="964"/>
      <c r="N135" s="514">
        <f t="shared" si="35"/>
        <v>47814</v>
      </c>
      <c r="O135" s="968">
        <f t="shared" si="37"/>
        <v>47814</v>
      </c>
      <c r="P135" s="516">
        <v>506150</v>
      </c>
      <c r="Q135" s="516">
        <v>668293</v>
      </c>
      <c r="R135" s="516">
        <v>675000</v>
      </c>
      <c r="S135" s="516">
        <f t="shared" si="50"/>
        <v>675000</v>
      </c>
    </row>
    <row r="136" spans="2:19" ht="15.6" customHeight="1" x14ac:dyDescent="0.25">
      <c r="B136" s="665">
        <v>317200.92099999997</v>
      </c>
      <c r="C136" s="666" t="s">
        <v>1237</v>
      </c>
      <c r="D136" s="610">
        <v>37000</v>
      </c>
      <c r="E136" s="610">
        <v>31620</v>
      </c>
      <c r="F136" s="667">
        <f t="shared" si="49"/>
        <v>2874.5454545454545</v>
      </c>
      <c r="G136" s="667">
        <f t="shared" si="36"/>
        <v>34494.545454545456</v>
      </c>
      <c r="H136" s="610">
        <v>37000</v>
      </c>
      <c r="I136" s="667">
        <v>21027</v>
      </c>
      <c r="J136" s="610">
        <v>37000</v>
      </c>
      <c r="K136" s="948">
        <f t="shared" si="38"/>
        <v>42054</v>
      </c>
      <c r="L136" s="964"/>
      <c r="N136" s="514">
        <f t="shared" si="35"/>
        <v>5054</v>
      </c>
      <c r="O136" s="968">
        <f t="shared" si="37"/>
        <v>5054</v>
      </c>
      <c r="P136" s="516">
        <v>24532</v>
      </c>
      <c r="Q136" s="516">
        <v>42054</v>
      </c>
      <c r="R136" s="516">
        <v>42000</v>
      </c>
      <c r="S136" s="516">
        <f t="shared" si="50"/>
        <v>42000</v>
      </c>
    </row>
    <row r="137" spans="2:19" ht="15.6" customHeight="1" x14ac:dyDescent="0.25">
      <c r="B137" s="665">
        <v>317500.42</v>
      </c>
      <c r="C137" s="666" t="s">
        <v>2028</v>
      </c>
      <c r="D137" s="610"/>
      <c r="E137" s="610"/>
      <c r="F137" s="667"/>
      <c r="G137" s="667"/>
      <c r="H137" s="610"/>
      <c r="I137" s="667">
        <v>34475</v>
      </c>
      <c r="J137" s="610"/>
      <c r="K137" s="948">
        <f t="shared" si="38"/>
        <v>68950</v>
      </c>
      <c r="L137" s="964"/>
      <c r="N137" s="514">
        <f t="shared" si="35"/>
        <v>68950</v>
      </c>
      <c r="O137" s="968">
        <f t="shared" si="37"/>
        <v>68950</v>
      </c>
      <c r="P137" s="516">
        <v>34475</v>
      </c>
      <c r="Q137" s="516">
        <v>35770</v>
      </c>
      <c r="R137" s="516">
        <v>46000</v>
      </c>
      <c r="S137" s="516">
        <f t="shared" si="50"/>
        <v>46000</v>
      </c>
    </row>
    <row r="138" spans="2:19" ht="15.6" customHeight="1" x14ac:dyDescent="0.25">
      <c r="B138" s="665">
        <v>317610.92</v>
      </c>
      <c r="C138" s="666" t="s">
        <v>1238</v>
      </c>
      <c r="D138" s="610">
        <v>124000</v>
      </c>
      <c r="E138" s="610">
        <v>111052</v>
      </c>
      <c r="F138" s="667">
        <f t="shared" si="49"/>
        <v>10095.636363636364</v>
      </c>
      <c r="G138" s="667">
        <f t="shared" si="36"/>
        <v>121147.63636363637</v>
      </c>
      <c r="H138" s="610">
        <v>124000</v>
      </c>
      <c r="I138" s="667">
        <v>63447</v>
      </c>
      <c r="J138" s="610">
        <v>124000</v>
      </c>
      <c r="K138" s="948">
        <f t="shared" si="38"/>
        <v>126894</v>
      </c>
      <c r="L138" s="964"/>
      <c r="N138" s="514">
        <f t="shared" si="35"/>
        <v>2894</v>
      </c>
      <c r="O138" s="968">
        <f t="shared" si="37"/>
        <v>2894</v>
      </c>
      <c r="P138" s="516">
        <v>94188</v>
      </c>
      <c r="Q138" s="516">
        <v>128787</v>
      </c>
      <c r="R138" s="516">
        <v>126000</v>
      </c>
      <c r="S138" s="516">
        <f t="shared" si="50"/>
        <v>126000</v>
      </c>
    </row>
    <row r="139" spans="2:19" s="407" customFormat="1" ht="15.6" customHeight="1" x14ac:dyDescent="0.25">
      <c r="B139" s="665">
        <v>317700.92</v>
      </c>
      <c r="C139" s="666" t="s">
        <v>1239</v>
      </c>
      <c r="D139" s="610">
        <v>60000</v>
      </c>
      <c r="E139" s="610">
        <v>50941</v>
      </c>
      <c r="F139" s="667">
        <f t="shared" si="49"/>
        <v>4631</v>
      </c>
      <c r="G139" s="667">
        <f t="shared" si="36"/>
        <v>55572</v>
      </c>
      <c r="H139" s="610">
        <v>60000</v>
      </c>
      <c r="I139" s="667">
        <f>-VLOOKUP(C139,'הכנסות לשלפה'!$C$1:$H$246,4,FALSE)</f>
        <v>29322.63</v>
      </c>
      <c r="J139" s="610">
        <v>60000</v>
      </c>
      <c r="K139" s="948">
        <v>65400</v>
      </c>
      <c r="L139" s="964"/>
      <c r="M139" s="407">
        <f>103200*0.75-12000</f>
        <v>65400</v>
      </c>
      <c r="N139" s="514">
        <f t="shared" si="35"/>
        <v>5400</v>
      </c>
      <c r="O139" s="968">
        <f t="shared" si="37"/>
        <v>5400</v>
      </c>
      <c r="P139" s="516">
        <v>43908</v>
      </c>
      <c r="Q139" s="516">
        <v>72127</v>
      </c>
      <c r="R139" s="516">
        <v>72000</v>
      </c>
      <c r="S139" s="516">
        <f t="shared" si="50"/>
        <v>72000</v>
      </c>
    </row>
    <row r="140" spans="2:19" ht="15.6" customHeight="1" x14ac:dyDescent="0.25">
      <c r="B140" s="665">
        <v>317800.92</v>
      </c>
      <c r="C140" s="679" t="s">
        <v>1240</v>
      </c>
      <c r="D140" s="667">
        <v>1180000</v>
      </c>
      <c r="E140" s="667">
        <v>1297603</v>
      </c>
      <c r="F140" s="667">
        <f t="shared" si="49"/>
        <v>117963.90909090909</v>
      </c>
      <c r="G140" s="667">
        <f t="shared" si="36"/>
        <v>1415566.9090909092</v>
      </c>
      <c r="H140" s="667">
        <v>1180000</v>
      </c>
      <c r="I140" s="667">
        <v>700394</v>
      </c>
      <c r="J140" s="673">
        <v>1180000</v>
      </c>
      <c r="K140" s="948">
        <v>1415567</v>
      </c>
      <c r="L140" s="964"/>
      <c r="M140" s="493" t="s">
        <v>2040</v>
      </c>
      <c r="N140" s="514">
        <f t="shared" si="35"/>
        <v>235567</v>
      </c>
      <c r="O140" s="968">
        <f t="shared" si="37"/>
        <v>235567</v>
      </c>
      <c r="P140" s="516">
        <v>784524</v>
      </c>
      <c r="Q140" s="516">
        <v>1040923</v>
      </c>
      <c r="R140" s="516">
        <f>1271000*0.7</f>
        <v>889700</v>
      </c>
      <c r="S140" s="516">
        <f t="shared" si="50"/>
        <v>889700</v>
      </c>
    </row>
    <row r="141" spans="2:19" ht="15.6" customHeight="1" x14ac:dyDescent="0.25">
      <c r="B141" s="665">
        <v>317800.44</v>
      </c>
      <c r="C141" s="679" t="s">
        <v>1772</v>
      </c>
      <c r="D141" s="667">
        <v>300000</v>
      </c>
      <c r="E141" s="667">
        <v>300000</v>
      </c>
      <c r="F141" s="667">
        <f t="shared" si="49"/>
        <v>27272.727272727272</v>
      </c>
      <c r="G141" s="667">
        <f t="shared" si="36"/>
        <v>327272.72727272729</v>
      </c>
      <c r="H141" s="667">
        <v>300000</v>
      </c>
      <c r="I141" s="667">
        <f>-VLOOKUP(C141,'הכנסות לשלפה'!$C$1:$H$246,4,FALSE)</f>
        <v>0</v>
      </c>
      <c r="J141" s="673">
        <v>300000</v>
      </c>
      <c r="K141" s="948">
        <f t="shared" si="38"/>
        <v>0</v>
      </c>
      <c r="L141" s="964"/>
      <c r="M141" s="493">
        <v>0</v>
      </c>
      <c r="N141" s="514">
        <f t="shared" si="35"/>
        <v>-300000</v>
      </c>
      <c r="O141" s="968">
        <f t="shared" si="37"/>
        <v>-300000</v>
      </c>
      <c r="P141" s="516">
        <v>160020</v>
      </c>
      <c r="Q141" s="516">
        <v>160020</v>
      </c>
      <c r="R141" s="516">
        <v>213000</v>
      </c>
      <c r="S141" s="516">
        <f t="shared" si="50"/>
        <v>213000</v>
      </c>
    </row>
    <row r="142" spans="2:19" ht="15.6" customHeight="1" x14ac:dyDescent="0.25">
      <c r="B142" s="665">
        <v>317800.92099999997</v>
      </c>
      <c r="C142" s="679" t="s">
        <v>1241</v>
      </c>
      <c r="D142" s="667">
        <v>1082000</v>
      </c>
      <c r="E142" s="667">
        <v>746619</v>
      </c>
      <c r="F142" s="667">
        <f t="shared" si="49"/>
        <v>67874.454545454544</v>
      </c>
      <c r="G142" s="667">
        <f t="shared" si="36"/>
        <v>814493.45454545459</v>
      </c>
      <c r="H142" s="667">
        <v>1082000</v>
      </c>
      <c r="I142" s="667">
        <v>406125</v>
      </c>
      <c r="J142" s="673">
        <v>1082000</v>
      </c>
      <c r="K142" s="948">
        <v>814493</v>
      </c>
      <c r="L142" s="964"/>
      <c r="M142" s="493" t="s">
        <v>2040</v>
      </c>
      <c r="N142" s="514">
        <f t="shared" si="35"/>
        <v>-267507</v>
      </c>
      <c r="O142" s="968">
        <f t="shared" si="37"/>
        <v>-267507</v>
      </c>
      <c r="P142" s="516">
        <v>457575</v>
      </c>
      <c r="Q142" s="516">
        <v>911812</v>
      </c>
      <c r="R142" s="516">
        <f>1546000*0.8</f>
        <v>1236800</v>
      </c>
      <c r="S142" s="516">
        <f t="shared" si="50"/>
        <v>1236800</v>
      </c>
    </row>
    <row r="143" spans="2:19" ht="15.6" customHeight="1" x14ac:dyDescent="0.25">
      <c r="B143" s="665">
        <v>317610.92099999997</v>
      </c>
      <c r="C143" s="679" t="s">
        <v>1242</v>
      </c>
      <c r="D143" s="610">
        <f>('הוצאות '!E219+'הוצאות '!E220)*0.8</f>
        <v>150433.60000000001</v>
      </c>
      <c r="E143" s="610">
        <v>14548</v>
      </c>
      <c r="F143" s="667">
        <f t="shared" si="49"/>
        <v>1322.5454545454545</v>
      </c>
      <c r="G143" s="667">
        <f t="shared" si="36"/>
        <v>15870.545454545454</v>
      </c>
      <c r="H143" s="610">
        <v>158080</v>
      </c>
      <c r="I143" s="667">
        <v>0</v>
      </c>
      <c r="J143" s="610">
        <v>240000</v>
      </c>
      <c r="K143" s="948">
        <v>226000</v>
      </c>
      <c r="L143" s="964"/>
      <c r="M143" s="493">
        <v>226000</v>
      </c>
      <c r="N143" s="514">
        <f t="shared" si="35"/>
        <v>67920</v>
      </c>
      <c r="O143" s="968">
        <f t="shared" si="37"/>
        <v>67920</v>
      </c>
      <c r="P143" s="516">
        <v>0</v>
      </c>
      <c r="Q143" s="516">
        <v>172065</v>
      </c>
      <c r="R143" s="516">
        <v>264262</v>
      </c>
      <c r="S143" s="516">
        <f t="shared" si="50"/>
        <v>264262</v>
      </c>
    </row>
    <row r="144" spans="2:19" ht="15.6" customHeight="1" x14ac:dyDescent="0.25">
      <c r="B144" s="665">
        <v>317900.92</v>
      </c>
      <c r="C144" s="679" t="s">
        <v>1947</v>
      </c>
      <c r="D144" s="610"/>
      <c r="E144" s="610"/>
      <c r="F144" s="667"/>
      <c r="G144" s="667"/>
      <c r="H144" s="610"/>
      <c r="I144" s="667"/>
      <c r="J144" s="610"/>
      <c r="K144" s="948"/>
      <c r="L144" s="964"/>
      <c r="N144" s="514"/>
      <c r="O144" s="968"/>
      <c r="P144" s="516"/>
      <c r="Q144" s="516">
        <v>100237</v>
      </c>
      <c r="R144" s="516">
        <v>100000</v>
      </c>
      <c r="S144" s="516">
        <f t="shared" si="50"/>
        <v>100000</v>
      </c>
    </row>
    <row r="145" spans="2:19" ht="15" customHeight="1" x14ac:dyDescent="0.25">
      <c r="B145" s="665">
        <v>317900.92099999997</v>
      </c>
      <c r="C145" s="666" t="s">
        <v>1243</v>
      </c>
      <c r="D145" s="610">
        <v>19500</v>
      </c>
      <c r="E145" s="610">
        <v>22390</v>
      </c>
      <c r="F145" s="667">
        <f t="shared" si="49"/>
        <v>2035.4545454545455</v>
      </c>
      <c r="G145" s="667">
        <f t="shared" si="36"/>
        <v>24425.454545454544</v>
      </c>
      <c r="H145" s="610">
        <v>19500</v>
      </c>
      <c r="I145" s="667">
        <f>-VLOOKUP(C145,'הכנסות לשלפה'!$C$1:$H$246,4,FALSE)</f>
        <v>7443.12</v>
      </c>
      <c r="J145" s="610">
        <v>19500</v>
      </c>
      <c r="K145" s="948">
        <v>35470</v>
      </c>
      <c r="L145" s="964"/>
      <c r="M145" s="493">
        <v>35470</v>
      </c>
      <c r="N145" s="514">
        <f t="shared" si="35"/>
        <v>15970</v>
      </c>
      <c r="O145" s="968">
        <f t="shared" si="37"/>
        <v>15970</v>
      </c>
      <c r="P145" s="516">
        <v>10068</v>
      </c>
      <c r="Q145" s="516">
        <v>35241</v>
      </c>
      <c r="R145" s="516">
        <v>24000</v>
      </c>
      <c r="S145" s="516">
        <f t="shared" si="50"/>
        <v>24000</v>
      </c>
    </row>
    <row r="146" spans="2:19" ht="15.6" customHeight="1" x14ac:dyDescent="0.25">
      <c r="B146" s="665">
        <v>317900.92200000002</v>
      </c>
      <c r="C146" s="666" t="s">
        <v>1244</v>
      </c>
      <c r="D146" s="610">
        <v>9000</v>
      </c>
      <c r="E146" s="610">
        <v>-11318</v>
      </c>
      <c r="F146" s="667">
        <f t="shared" si="49"/>
        <v>-1028.909090909091</v>
      </c>
      <c r="G146" s="667">
        <f t="shared" si="36"/>
        <v>-12346.909090909092</v>
      </c>
      <c r="H146" s="610">
        <v>9000</v>
      </c>
      <c r="I146" s="667">
        <f>-VLOOKUP(C146,'הכנסות לשלפה'!$C$1:$H$246,4,FALSE)</f>
        <v>-10771.18</v>
      </c>
      <c r="J146" s="610">
        <v>9000</v>
      </c>
      <c r="K146" s="948">
        <v>-11000</v>
      </c>
      <c r="L146" s="964"/>
      <c r="M146" s="493">
        <v>-11000</v>
      </c>
      <c r="N146" s="514">
        <f t="shared" si="35"/>
        <v>-20000</v>
      </c>
      <c r="O146" s="968">
        <f t="shared" si="37"/>
        <v>-20000</v>
      </c>
      <c r="P146" s="516">
        <v>-10771</v>
      </c>
      <c r="Q146" s="516">
        <v>-10771</v>
      </c>
      <c r="R146" s="516">
        <v>-14000</v>
      </c>
      <c r="S146" s="516">
        <f t="shared" si="50"/>
        <v>-14000</v>
      </c>
    </row>
    <row r="147" spans="2:19" ht="15.6" customHeight="1" x14ac:dyDescent="0.25">
      <c r="B147" s="665">
        <v>313620.92</v>
      </c>
      <c r="C147" s="666" t="s">
        <v>1948</v>
      </c>
      <c r="D147" s="610"/>
      <c r="E147" s="610"/>
      <c r="F147" s="667"/>
      <c r="G147" s="667"/>
      <c r="H147" s="610"/>
      <c r="I147" s="667"/>
      <c r="J147" s="610"/>
      <c r="K147" s="948"/>
      <c r="L147" s="964"/>
      <c r="N147" s="514"/>
      <c r="O147" s="968"/>
      <c r="P147" s="516"/>
      <c r="Q147" s="516">
        <v>451766</v>
      </c>
      <c r="R147" s="516">
        <f>496437+90000</f>
        <v>586437</v>
      </c>
      <c r="S147" s="516">
        <f t="shared" si="50"/>
        <v>586437</v>
      </c>
    </row>
    <row r="148" spans="2:19" ht="15.6" customHeight="1" x14ac:dyDescent="0.25">
      <c r="B148" s="685">
        <v>313620.92099999997</v>
      </c>
      <c r="C148" s="666" t="s">
        <v>1038</v>
      </c>
      <c r="D148" s="610">
        <v>130800</v>
      </c>
      <c r="E148" s="885">
        <v>76204</v>
      </c>
      <c r="F148" s="667">
        <f t="shared" si="49"/>
        <v>6927.636363636364</v>
      </c>
      <c r="G148" s="667">
        <f t="shared" si="36"/>
        <v>83131.636363636368</v>
      </c>
      <c r="H148" s="610">
        <v>130800</v>
      </c>
      <c r="I148" s="667">
        <f>-VLOOKUP(C148,'הכנסות לשלפה'!$C$1:$H$246,4,FALSE)</f>
        <v>0</v>
      </c>
      <c r="J148" s="610">
        <v>130800</v>
      </c>
      <c r="K148" s="948">
        <v>130800</v>
      </c>
      <c r="L148" s="964"/>
      <c r="M148" s="493">
        <v>130800</v>
      </c>
      <c r="N148" s="514">
        <f t="shared" si="35"/>
        <v>0</v>
      </c>
      <c r="O148" s="968">
        <f t="shared" si="37"/>
        <v>0</v>
      </c>
      <c r="P148" s="516">
        <v>0</v>
      </c>
      <c r="Q148" s="516">
        <v>182050</v>
      </c>
      <c r="R148" s="516">
        <v>180000</v>
      </c>
      <c r="S148" s="516">
        <f t="shared" si="50"/>
        <v>180000</v>
      </c>
    </row>
    <row r="149" spans="2:19" s="407" customFormat="1" ht="15.6" customHeight="1" x14ac:dyDescent="0.25">
      <c r="B149" s="698" t="s">
        <v>1245</v>
      </c>
      <c r="C149" s="669" t="s">
        <v>749</v>
      </c>
      <c r="D149" s="670">
        <f t="shared" ref="D149:I149" si="51">SUM(D129:D148)</f>
        <v>4336533.5999999996</v>
      </c>
      <c r="E149" s="670">
        <f t="shared" si="51"/>
        <v>3922744</v>
      </c>
      <c r="F149" s="670">
        <f t="shared" si="51"/>
        <v>356613.09090909088</v>
      </c>
      <c r="G149" s="670">
        <f t="shared" si="51"/>
        <v>4279357.0909090908</v>
      </c>
      <c r="H149" s="670">
        <f>SUM(H129:H148)</f>
        <v>4424257.1958400002</v>
      </c>
      <c r="I149" s="670">
        <f t="shared" si="51"/>
        <v>1751684.57</v>
      </c>
      <c r="J149" s="670">
        <f t="shared" ref="J149:S149" si="52">SUM(J129:J148)</f>
        <v>4472644.8</v>
      </c>
      <c r="K149" s="949">
        <f t="shared" si="52"/>
        <v>4431904</v>
      </c>
      <c r="L149" s="949">
        <f t="shared" si="52"/>
        <v>0</v>
      </c>
      <c r="M149" s="949">
        <f t="shared" si="52"/>
        <v>1095814</v>
      </c>
      <c r="N149" s="949">
        <f t="shared" si="52"/>
        <v>7646.8041600000579</v>
      </c>
      <c r="O149" s="1040">
        <f t="shared" si="52"/>
        <v>7646.8041600000579</v>
      </c>
      <c r="P149" s="1052">
        <f t="shared" si="52"/>
        <v>2204922</v>
      </c>
      <c r="Q149" s="1052">
        <f t="shared" si="52"/>
        <v>4335651</v>
      </c>
      <c r="R149" s="1052">
        <f t="shared" si="52"/>
        <v>5125899</v>
      </c>
      <c r="S149" s="1052">
        <f t="shared" si="52"/>
        <v>5125899</v>
      </c>
    </row>
    <row r="150" spans="2:19" ht="8.25" customHeight="1" x14ac:dyDescent="0.25">
      <c r="B150" s="665"/>
      <c r="C150" s="681"/>
      <c r="D150" s="667"/>
      <c r="E150" s="667"/>
      <c r="F150" s="667"/>
      <c r="G150" s="667"/>
      <c r="H150" s="667"/>
      <c r="I150" s="667"/>
      <c r="J150" s="667"/>
      <c r="K150" s="948"/>
      <c r="L150" s="964"/>
      <c r="N150" s="514">
        <f t="shared" ref="N150:N219" si="53">K150-H150</f>
        <v>0</v>
      </c>
      <c r="O150" s="968">
        <f t="shared" si="37"/>
        <v>0</v>
      </c>
      <c r="P150" s="516"/>
      <c r="Q150" s="516"/>
      <c r="R150" s="516"/>
      <c r="S150" s="516"/>
    </row>
    <row r="151" spans="2:19" s="463" customFormat="1" ht="19.5" customHeight="1" x14ac:dyDescent="0.2">
      <c r="B151" s="477" t="s">
        <v>1246</v>
      </c>
      <c r="C151" s="478" t="s">
        <v>47</v>
      </c>
      <c r="D151" s="479">
        <f t="shared" ref="D151:I151" si="54">D89+D118+D121+D149+D127+D67</f>
        <v>15983427.6</v>
      </c>
      <c r="E151" s="479">
        <f t="shared" si="54"/>
        <v>14554474</v>
      </c>
      <c r="F151" s="479">
        <f t="shared" si="54"/>
        <v>1333758.2424242424</v>
      </c>
      <c r="G151" s="479">
        <f t="shared" si="54"/>
        <v>15888232.242424244</v>
      </c>
      <c r="H151" s="479">
        <f t="shared" si="54"/>
        <v>16530410.862506667</v>
      </c>
      <c r="I151" s="479">
        <f t="shared" si="54"/>
        <v>8105385.4500000002</v>
      </c>
      <c r="J151" s="479">
        <f t="shared" ref="J151" si="55">J89+J118+J121+J149+J127+J67</f>
        <v>16774434.699999999</v>
      </c>
      <c r="K151" s="950">
        <f>K89+K118+K121+K149+K127+K67</f>
        <v>17777300</v>
      </c>
      <c r="L151" s="950">
        <f t="shared" ref="L151:S151" si="56">L89+L118+L121+L149+L127+L67</f>
        <v>0</v>
      </c>
      <c r="M151" s="950" t="e">
        <f t="shared" si="56"/>
        <v>#VALUE!</v>
      </c>
      <c r="N151" s="950">
        <f t="shared" si="56"/>
        <v>1123844.1374933333</v>
      </c>
      <c r="O151" s="1041">
        <f t="shared" si="56"/>
        <v>1123844.1374933333</v>
      </c>
      <c r="P151" s="1053">
        <f t="shared" si="56"/>
        <v>12143098</v>
      </c>
      <c r="Q151" s="1053">
        <f t="shared" si="56"/>
        <v>17703503.666666664</v>
      </c>
      <c r="R151" s="1053">
        <f t="shared" si="56"/>
        <v>19025409</v>
      </c>
      <c r="S151" s="1053">
        <f t="shared" si="56"/>
        <v>17529009</v>
      </c>
    </row>
    <row r="152" spans="2:19" s="407" customFormat="1" ht="15.6" customHeight="1" x14ac:dyDescent="0.25">
      <c r="B152" s="665"/>
      <c r="C152" s="699"/>
      <c r="D152" s="667"/>
      <c r="E152" s="667"/>
      <c r="F152" s="667"/>
      <c r="G152" s="667"/>
      <c r="H152" s="667"/>
      <c r="I152" s="667"/>
      <c r="J152" s="667"/>
      <c r="K152" s="948"/>
      <c r="L152" s="964"/>
      <c r="N152" s="514">
        <f t="shared" si="53"/>
        <v>0</v>
      </c>
      <c r="O152" s="968">
        <f t="shared" ref="O152:O221" si="57">K152-H152</f>
        <v>0</v>
      </c>
      <c r="P152" s="1056"/>
      <c r="Q152" s="1056"/>
      <c r="R152" s="1056"/>
      <c r="S152" s="1056"/>
    </row>
    <row r="153" spans="2:19" ht="15.6" customHeight="1" x14ac:dyDescent="0.25">
      <c r="B153" s="664">
        <v>322000.96999999997</v>
      </c>
      <c r="C153" s="681" t="s">
        <v>1247</v>
      </c>
      <c r="D153" s="667">
        <v>115000</v>
      </c>
      <c r="E153" s="667">
        <f>81683+46000</f>
        <v>127683</v>
      </c>
      <c r="F153" s="667">
        <f t="shared" ref="F153:F157" si="58">E153/9*3</f>
        <v>42561</v>
      </c>
      <c r="G153" s="667">
        <f t="shared" si="36"/>
        <v>170244</v>
      </c>
      <c r="H153" s="667">
        <v>172000</v>
      </c>
      <c r="I153" s="667">
        <v>57500</v>
      </c>
      <c r="J153" s="667">
        <f>92000+80000</f>
        <v>172000</v>
      </c>
      <c r="K153" s="948">
        <v>172000</v>
      </c>
      <c r="L153" s="964"/>
      <c r="M153" s="493">
        <v>172000</v>
      </c>
      <c r="N153" s="514">
        <f t="shared" si="53"/>
        <v>0</v>
      </c>
      <c r="O153" s="968">
        <f t="shared" si="57"/>
        <v>0</v>
      </c>
      <c r="P153" s="516">
        <v>235000</v>
      </c>
      <c r="Q153" s="516">
        <v>817110</v>
      </c>
      <c r="R153" s="1050">
        <v>200000</v>
      </c>
      <c r="S153" s="1050">
        <v>200000</v>
      </c>
    </row>
    <row r="154" spans="2:19" ht="15.6" customHeight="1" x14ac:dyDescent="0.25">
      <c r="B154" s="664">
        <v>312400.42</v>
      </c>
      <c r="C154" s="681" t="s">
        <v>1884</v>
      </c>
      <c r="D154" s="667"/>
      <c r="E154" s="667"/>
      <c r="F154" s="667"/>
      <c r="G154" s="667"/>
      <c r="H154" s="667"/>
      <c r="I154" s="667"/>
      <c r="J154" s="667"/>
      <c r="K154" s="948"/>
      <c r="L154" s="964"/>
      <c r="N154" s="514"/>
      <c r="O154" s="968"/>
      <c r="P154" s="516">
        <v>13750</v>
      </c>
      <c r="Q154" s="516">
        <v>13750</v>
      </c>
      <c r="R154" s="1050">
        <v>18000</v>
      </c>
      <c r="S154" s="1050">
        <v>18000</v>
      </c>
    </row>
    <row r="155" spans="2:19" ht="15.6" customHeight="1" x14ac:dyDescent="0.25">
      <c r="B155" s="665">
        <v>328200.96999999997</v>
      </c>
      <c r="C155" s="666" t="s">
        <v>1248</v>
      </c>
      <c r="D155" s="667">
        <f>('הוצאות '!E257+'הוצאות '!E258-70000)*0.8</f>
        <v>160676.80000000002</v>
      </c>
      <c r="E155" s="667">
        <v>69788</v>
      </c>
      <c r="F155" s="667">
        <f>E155/9*3</f>
        <v>23262.666666666668</v>
      </c>
      <c r="G155" s="667">
        <f t="shared" si="36"/>
        <v>93050.666666666672</v>
      </c>
      <c r="H155" s="667">
        <f>('הוצאות '!I257+'הוצאות '!I258-70000)*0.8</f>
        <v>206148</v>
      </c>
      <c r="I155" s="667">
        <v>0</v>
      </c>
      <c r="J155" s="667">
        <f>('הוצאות '!K257+'הוצאות '!K258-70000)*0.8</f>
        <v>206148</v>
      </c>
      <c r="K155" s="948">
        <v>181600</v>
      </c>
      <c r="L155" s="964"/>
      <c r="M155" s="493">
        <f>327000*0.8-80000</f>
        <v>181600</v>
      </c>
      <c r="N155" s="514">
        <f t="shared" si="53"/>
        <v>-24548</v>
      </c>
      <c r="O155" s="968">
        <f t="shared" si="57"/>
        <v>-24548</v>
      </c>
      <c r="P155" s="516">
        <v>0</v>
      </c>
      <c r="Q155" s="516">
        <f t="shared" ref="Q155" si="59">P155/9*12</f>
        <v>0</v>
      </c>
      <c r="R155" s="1050">
        <v>181600</v>
      </c>
      <c r="S155" s="1050">
        <v>181600</v>
      </c>
    </row>
    <row r="156" spans="2:19" ht="15.6" customHeight="1" x14ac:dyDescent="0.25">
      <c r="B156" s="665">
        <v>328300.42</v>
      </c>
      <c r="C156" s="666" t="s">
        <v>1249</v>
      </c>
      <c r="D156" s="610">
        <v>3000</v>
      </c>
      <c r="E156" s="673">
        <v>2400</v>
      </c>
      <c r="F156" s="667">
        <f t="shared" si="58"/>
        <v>800</v>
      </c>
      <c r="G156" s="667">
        <f t="shared" si="36"/>
        <v>3200</v>
      </c>
      <c r="H156" s="610">
        <v>10000</v>
      </c>
      <c r="I156" s="667">
        <v>23460</v>
      </c>
      <c r="J156" s="610">
        <v>10000</v>
      </c>
      <c r="K156" s="948">
        <v>25000</v>
      </c>
      <c r="L156" s="964"/>
      <c r="M156" s="493">
        <v>25000</v>
      </c>
      <c r="N156" s="514">
        <f t="shared" si="53"/>
        <v>15000</v>
      </c>
      <c r="O156" s="968">
        <f t="shared" si="57"/>
        <v>15000</v>
      </c>
      <c r="P156" s="516">
        <v>23460</v>
      </c>
      <c r="Q156" s="516">
        <f>26600+6500</f>
        <v>33100</v>
      </c>
      <c r="R156" s="1050">
        <v>25000</v>
      </c>
      <c r="S156" s="1050">
        <v>25000</v>
      </c>
    </row>
    <row r="157" spans="2:19" ht="15.6" customHeight="1" x14ac:dyDescent="0.25">
      <c r="B157" s="665">
        <v>313630.96999999997</v>
      </c>
      <c r="C157" s="666" t="s">
        <v>772</v>
      </c>
      <c r="D157" s="610">
        <v>90000</v>
      </c>
      <c r="E157" s="610">
        <v>20000</v>
      </c>
      <c r="F157" s="667">
        <f t="shared" si="58"/>
        <v>6666.6666666666661</v>
      </c>
      <c r="G157" s="667">
        <f t="shared" si="36"/>
        <v>26666.666666666664</v>
      </c>
      <c r="H157" s="610">
        <v>90000</v>
      </c>
      <c r="I157" s="667">
        <f>-VLOOKUP(C157,'הכנסות לשלפה'!$C$1:$H$246,4,FALSE)</f>
        <v>6625</v>
      </c>
      <c r="J157" s="610">
        <v>90000</v>
      </c>
      <c r="K157" s="948">
        <v>42500</v>
      </c>
      <c r="L157" s="964"/>
      <c r="M157" s="493">
        <v>42500</v>
      </c>
      <c r="N157" s="514">
        <f t="shared" si="53"/>
        <v>-47500</v>
      </c>
      <c r="O157" s="968">
        <f t="shared" si="57"/>
        <v>-47500</v>
      </c>
      <c r="P157" s="516">
        <v>6625</v>
      </c>
      <c r="Q157" s="516">
        <v>6625</v>
      </c>
      <c r="R157" s="1050">
        <v>42500</v>
      </c>
      <c r="S157" s="1050">
        <v>42500</v>
      </c>
    </row>
    <row r="158" spans="2:19" s="407" customFormat="1" ht="15.6" customHeight="1" x14ac:dyDescent="0.25">
      <c r="B158" s="665"/>
      <c r="C158" s="669" t="s">
        <v>1250</v>
      </c>
      <c r="D158" s="670">
        <f t="shared" ref="D158:S158" si="60">SUM(D153:D157)</f>
        <v>368676.80000000005</v>
      </c>
      <c r="E158" s="670">
        <f t="shared" si="60"/>
        <v>219871</v>
      </c>
      <c r="F158" s="670">
        <f t="shared" si="60"/>
        <v>73290.333333333343</v>
      </c>
      <c r="G158" s="670">
        <f t="shared" si="60"/>
        <v>293161.33333333337</v>
      </c>
      <c r="H158" s="670">
        <f t="shared" si="60"/>
        <v>478148</v>
      </c>
      <c r="I158" s="670">
        <f t="shared" si="60"/>
        <v>87585</v>
      </c>
      <c r="J158" s="670">
        <f t="shared" si="60"/>
        <v>478148</v>
      </c>
      <c r="K158" s="949">
        <f t="shared" si="60"/>
        <v>421100</v>
      </c>
      <c r="L158" s="949">
        <f t="shared" si="60"/>
        <v>0</v>
      </c>
      <c r="M158" s="949">
        <f t="shared" si="60"/>
        <v>421100</v>
      </c>
      <c r="N158" s="949">
        <f t="shared" si="60"/>
        <v>-57048</v>
      </c>
      <c r="O158" s="1040">
        <f t="shared" si="60"/>
        <v>-57048</v>
      </c>
      <c r="P158" s="1052">
        <f t="shared" si="60"/>
        <v>278835</v>
      </c>
      <c r="Q158" s="1052">
        <f t="shared" si="60"/>
        <v>870585</v>
      </c>
      <c r="R158" s="1052">
        <f t="shared" si="60"/>
        <v>467100</v>
      </c>
      <c r="S158" s="1052">
        <f t="shared" si="60"/>
        <v>467100</v>
      </c>
    </row>
    <row r="159" spans="2:19" ht="15" x14ac:dyDescent="0.25">
      <c r="B159" s="665"/>
      <c r="C159" s="681"/>
      <c r="D159" s="667"/>
      <c r="E159" s="667"/>
      <c r="F159" s="667">
        <f t="shared" ref="F159:F215" si="61">E159/9*3</f>
        <v>0</v>
      </c>
      <c r="G159" s="667"/>
      <c r="H159" s="667"/>
      <c r="I159" s="667"/>
      <c r="J159" s="667"/>
      <c r="K159" s="948"/>
      <c r="L159" s="964"/>
      <c r="N159" s="514">
        <f t="shared" si="53"/>
        <v>0</v>
      </c>
      <c r="O159" s="968">
        <f t="shared" si="57"/>
        <v>0</v>
      </c>
      <c r="P159" s="516"/>
      <c r="Q159" s="516"/>
      <c r="R159" s="516"/>
      <c r="S159" s="516"/>
    </row>
    <row r="160" spans="2:19" ht="15.6" customHeight="1" x14ac:dyDescent="0.25">
      <c r="B160" s="665">
        <v>329300.42</v>
      </c>
      <c r="C160" s="666" t="s">
        <v>1251</v>
      </c>
      <c r="D160" s="667">
        <v>54900</v>
      </c>
      <c r="E160" s="667">
        <v>57810</v>
      </c>
      <c r="F160" s="667">
        <f t="shared" si="61"/>
        <v>19270</v>
      </c>
      <c r="G160" s="667">
        <f t="shared" ref="G160:G230" si="62">F160+E160</f>
        <v>77080</v>
      </c>
      <c r="H160" s="667">
        <v>55000</v>
      </c>
      <c r="I160" s="667">
        <v>10800</v>
      </c>
      <c r="J160" s="667">
        <v>55000</v>
      </c>
      <c r="K160" s="948">
        <v>25000</v>
      </c>
      <c r="L160" s="964"/>
      <c r="M160" s="493">
        <v>25000</v>
      </c>
      <c r="N160" s="514">
        <f t="shared" si="53"/>
        <v>-30000</v>
      </c>
      <c r="O160" s="968">
        <f t="shared" si="57"/>
        <v>-30000</v>
      </c>
      <c r="P160" s="516">
        <v>10800</v>
      </c>
      <c r="Q160" s="516">
        <v>49910</v>
      </c>
      <c r="R160" s="1050">
        <v>50000</v>
      </c>
      <c r="S160" s="1050">
        <v>50000</v>
      </c>
    </row>
    <row r="161" spans="2:19" ht="15.6" customHeight="1" x14ac:dyDescent="0.25">
      <c r="B161" s="664">
        <v>329300.94</v>
      </c>
      <c r="C161" s="681" t="s">
        <v>1252</v>
      </c>
      <c r="D161" s="667">
        <v>110000</v>
      </c>
      <c r="E161" s="667">
        <v>0</v>
      </c>
      <c r="F161" s="667">
        <f t="shared" si="61"/>
        <v>0</v>
      </c>
      <c r="G161" s="667">
        <f t="shared" si="62"/>
        <v>0</v>
      </c>
      <c r="H161" s="667">
        <f>81683+45000</f>
        <v>126683</v>
      </c>
      <c r="I161" s="667">
        <f>30000+55623</f>
        <v>85623</v>
      </c>
      <c r="J161" s="667">
        <f>81683+45000</f>
        <v>126683</v>
      </c>
      <c r="K161" s="948">
        <v>105000</v>
      </c>
      <c r="L161" s="964"/>
      <c r="M161" s="493">
        <v>105000</v>
      </c>
      <c r="N161" s="514">
        <f t="shared" si="53"/>
        <v>-21683</v>
      </c>
      <c r="O161" s="968">
        <f t="shared" si="57"/>
        <v>-21683</v>
      </c>
      <c r="P161" s="516">
        <v>194318</v>
      </c>
      <c r="Q161" s="516">
        <v>194318</v>
      </c>
      <c r="R161" s="1050">
        <v>190000</v>
      </c>
      <c r="S161" s="1050">
        <v>190000</v>
      </c>
    </row>
    <row r="162" spans="2:19" s="407" customFormat="1" ht="15.6" customHeight="1" x14ac:dyDescent="0.25">
      <c r="B162" s="665"/>
      <c r="C162" s="669" t="s">
        <v>778</v>
      </c>
      <c r="D162" s="670">
        <f>SUM(D160:D161)</f>
        <v>164900</v>
      </c>
      <c r="E162" s="670">
        <f t="shared" ref="E162:S162" si="63">SUM(E160:E161)</f>
        <v>57810</v>
      </c>
      <c r="F162" s="670">
        <f t="shared" si="63"/>
        <v>19270</v>
      </c>
      <c r="G162" s="670">
        <f t="shared" si="63"/>
        <v>77080</v>
      </c>
      <c r="H162" s="670">
        <f t="shared" si="63"/>
        <v>181683</v>
      </c>
      <c r="I162" s="670">
        <f t="shared" si="63"/>
        <v>96423</v>
      </c>
      <c r="J162" s="670">
        <f t="shared" si="63"/>
        <v>181683</v>
      </c>
      <c r="K162" s="670">
        <f t="shared" si="63"/>
        <v>130000</v>
      </c>
      <c r="L162" s="670">
        <f t="shared" si="63"/>
        <v>0</v>
      </c>
      <c r="M162" s="670">
        <f t="shared" si="63"/>
        <v>130000</v>
      </c>
      <c r="N162" s="670">
        <f t="shared" si="63"/>
        <v>-51683</v>
      </c>
      <c r="O162" s="1046">
        <f t="shared" si="63"/>
        <v>-51683</v>
      </c>
      <c r="P162" s="670">
        <f t="shared" si="63"/>
        <v>205118</v>
      </c>
      <c r="Q162" s="670">
        <f t="shared" si="63"/>
        <v>244228</v>
      </c>
      <c r="R162" s="670">
        <f t="shared" si="63"/>
        <v>240000</v>
      </c>
      <c r="S162" s="670">
        <f t="shared" si="63"/>
        <v>240000</v>
      </c>
    </row>
    <row r="163" spans="2:19" ht="15.6" customHeight="1" x14ac:dyDescent="0.25">
      <c r="B163" s="665"/>
      <c r="C163" s="681"/>
      <c r="D163" s="667"/>
      <c r="E163" s="667"/>
      <c r="F163" s="667">
        <f t="shared" si="61"/>
        <v>0</v>
      </c>
      <c r="G163" s="667"/>
      <c r="H163" s="667"/>
      <c r="I163" s="667"/>
      <c r="J163" s="667"/>
      <c r="K163" s="948">
        <f t="shared" ref="K163:K201" si="64">I163*2</f>
        <v>0</v>
      </c>
      <c r="L163" s="964"/>
      <c r="N163" s="514">
        <f t="shared" si="53"/>
        <v>0</v>
      </c>
      <c r="O163" s="968">
        <f t="shared" si="57"/>
        <v>0</v>
      </c>
      <c r="P163" s="516"/>
      <c r="Q163" s="516"/>
      <c r="R163" s="516"/>
      <c r="S163" s="516"/>
    </row>
    <row r="164" spans="2:19" s="378" customFormat="1" ht="15.6" customHeight="1" x14ac:dyDescent="0.2">
      <c r="B164" s="477" t="s">
        <v>1253</v>
      </c>
      <c r="C164" s="480" t="s">
        <v>1254</v>
      </c>
      <c r="D164" s="481">
        <f>SUM(D162+D158)</f>
        <v>533576.80000000005</v>
      </c>
      <c r="E164" s="481">
        <f t="shared" ref="E164:S164" si="65">SUM(E162+E158)</f>
        <v>277681</v>
      </c>
      <c r="F164" s="481">
        <f t="shared" si="65"/>
        <v>92560.333333333343</v>
      </c>
      <c r="G164" s="481">
        <f t="shared" si="65"/>
        <v>370241.33333333337</v>
      </c>
      <c r="H164" s="481">
        <f t="shared" si="65"/>
        <v>659831</v>
      </c>
      <c r="I164" s="481">
        <f t="shared" si="65"/>
        <v>184008</v>
      </c>
      <c r="J164" s="481">
        <f t="shared" si="65"/>
        <v>659831</v>
      </c>
      <c r="K164" s="950">
        <f t="shared" si="65"/>
        <v>551100</v>
      </c>
      <c r="L164" s="950">
        <f t="shared" si="65"/>
        <v>0</v>
      </c>
      <c r="M164" s="950">
        <f t="shared" si="65"/>
        <v>551100</v>
      </c>
      <c r="N164" s="950">
        <f t="shared" si="65"/>
        <v>-108731</v>
      </c>
      <c r="O164" s="1041">
        <f t="shared" si="65"/>
        <v>-108731</v>
      </c>
      <c r="P164" s="1053">
        <f t="shared" si="65"/>
        <v>483953</v>
      </c>
      <c r="Q164" s="1053">
        <f t="shared" si="65"/>
        <v>1114813</v>
      </c>
      <c r="R164" s="1053">
        <f t="shared" si="65"/>
        <v>707100</v>
      </c>
      <c r="S164" s="1053">
        <f t="shared" si="65"/>
        <v>707100</v>
      </c>
    </row>
    <row r="165" spans="2:19" ht="15.6" customHeight="1" x14ac:dyDescent="0.25">
      <c r="B165" s="665"/>
      <c r="C165" s="681"/>
      <c r="D165" s="667"/>
      <c r="E165" s="667"/>
      <c r="F165" s="667">
        <f t="shared" si="61"/>
        <v>0</v>
      </c>
      <c r="G165" s="667"/>
      <c r="H165" s="667"/>
      <c r="I165" s="667"/>
      <c r="J165" s="667"/>
      <c r="K165" s="948"/>
      <c r="L165" s="964"/>
      <c r="N165" s="514">
        <f t="shared" si="53"/>
        <v>0</v>
      </c>
      <c r="O165" s="968">
        <f t="shared" si="57"/>
        <v>0</v>
      </c>
      <c r="P165" s="516"/>
      <c r="Q165" s="516"/>
      <c r="R165" s="516"/>
      <c r="S165" s="516"/>
    </row>
    <row r="166" spans="2:19" s="407" customFormat="1" ht="15.6" customHeight="1" x14ac:dyDescent="0.25">
      <c r="B166" s="665"/>
      <c r="C166" s="700"/>
      <c r="D166" s="667"/>
      <c r="E166" s="667"/>
      <c r="F166" s="667">
        <f t="shared" si="61"/>
        <v>0</v>
      </c>
      <c r="G166" s="667"/>
      <c r="H166" s="667"/>
      <c r="I166" s="667"/>
      <c r="J166" s="667"/>
      <c r="K166" s="948"/>
      <c r="L166" s="964"/>
      <c r="N166" s="514">
        <f t="shared" si="53"/>
        <v>0</v>
      </c>
      <c r="O166" s="968">
        <f t="shared" si="57"/>
        <v>0</v>
      </c>
      <c r="P166" s="1056"/>
      <c r="Q166" s="1056"/>
      <c r="R166" s="1056"/>
      <c r="S166" s="1056"/>
    </row>
    <row r="167" spans="2:19" ht="15.6" customHeight="1" x14ac:dyDescent="0.25">
      <c r="B167" s="665">
        <v>341000.93</v>
      </c>
      <c r="C167" s="666" t="s">
        <v>1255</v>
      </c>
      <c r="D167" s="667">
        <f>602468+390000</f>
        <v>992468</v>
      </c>
      <c r="E167" s="667">
        <v>677318</v>
      </c>
      <c r="F167" s="667">
        <f>E167/10*2</f>
        <v>135463.6</v>
      </c>
      <c r="G167" s="667">
        <f t="shared" si="62"/>
        <v>812781.6</v>
      </c>
      <c r="H167" s="667">
        <f>1505933</f>
        <v>1505933</v>
      </c>
      <c r="I167" s="667">
        <f>-VLOOKUP(C167,'הכנסות לשלפה'!$C$1:$H$246,4,FALSE)</f>
        <v>467275</v>
      </c>
      <c r="J167" s="667">
        <f>792000+323933+390000+250000</f>
        <v>1755933</v>
      </c>
      <c r="K167" s="948">
        <v>1755933</v>
      </c>
      <c r="L167" s="964"/>
      <c r="N167" s="514">
        <f t="shared" si="53"/>
        <v>250000</v>
      </c>
      <c r="O167" s="968">
        <f t="shared" si="57"/>
        <v>250000</v>
      </c>
      <c r="P167" s="516">
        <v>684736</v>
      </c>
      <c r="Q167" s="516">
        <v>853029</v>
      </c>
      <c r="R167" s="516">
        <v>829421</v>
      </c>
      <c r="S167" s="516">
        <v>829421</v>
      </c>
    </row>
    <row r="168" spans="2:19" ht="15.6" customHeight="1" x14ac:dyDescent="0.25">
      <c r="B168" s="665">
        <v>341000.93099999998</v>
      </c>
      <c r="C168" s="666" t="s">
        <v>3268</v>
      </c>
      <c r="D168" s="667"/>
      <c r="E168" s="667"/>
      <c r="F168" s="667"/>
      <c r="G168" s="667"/>
      <c r="H168" s="667"/>
      <c r="I168" s="667"/>
      <c r="J168" s="667"/>
      <c r="K168" s="948"/>
      <c r="L168" s="964"/>
      <c r="N168" s="514"/>
      <c r="O168" s="968"/>
      <c r="P168" s="516"/>
      <c r="Q168" s="516"/>
      <c r="R168" s="516">
        <v>127946</v>
      </c>
      <c r="S168" s="516">
        <v>127946</v>
      </c>
    </row>
    <row r="169" spans="2:19" ht="15.6" customHeight="1" x14ac:dyDescent="0.25">
      <c r="B169" s="665">
        <v>341000.93199999997</v>
      </c>
      <c r="C169" s="666" t="s">
        <v>798</v>
      </c>
      <c r="D169" s="667">
        <f>'הוצאות '!E291*0.75</f>
        <v>12461.25</v>
      </c>
      <c r="E169" s="667">
        <v>5950</v>
      </c>
      <c r="F169" s="667">
        <f>E169/10*2</f>
        <v>1190</v>
      </c>
      <c r="G169" s="667">
        <f t="shared" si="62"/>
        <v>7140</v>
      </c>
      <c r="H169" s="667">
        <f>'הוצאות '!I291*0.75</f>
        <v>12461.25</v>
      </c>
      <c r="I169" s="667">
        <v>0</v>
      </c>
      <c r="J169" s="667">
        <f>'הוצאות '!K291*0.75</f>
        <v>12461.25</v>
      </c>
      <c r="K169" s="948">
        <v>12461</v>
      </c>
      <c r="L169" s="964"/>
      <c r="N169" s="514">
        <f t="shared" si="53"/>
        <v>-0.25</v>
      </c>
      <c r="O169" s="968">
        <f t="shared" si="57"/>
        <v>-0.25</v>
      </c>
      <c r="P169" s="516"/>
      <c r="Q169" s="516">
        <f>P169/9*12</f>
        <v>0</v>
      </c>
      <c r="R169" s="516">
        <v>7500</v>
      </c>
      <c r="S169" s="516">
        <v>7500</v>
      </c>
    </row>
    <row r="170" spans="2:19" s="407" customFormat="1" ht="15.6" customHeight="1" x14ac:dyDescent="0.25">
      <c r="B170" s="686" t="s">
        <v>1256</v>
      </c>
      <c r="C170" s="669" t="s">
        <v>1255</v>
      </c>
      <c r="D170" s="670">
        <f>SUM(D167:D169)</f>
        <v>1004929.25</v>
      </c>
      <c r="E170" s="670">
        <f t="shared" ref="E170:S170" si="66">SUM(E167:E169)</f>
        <v>683268</v>
      </c>
      <c r="F170" s="670">
        <f t="shared" si="66"/>
        <v>136653.6</v>
      </c>
      <c r="G170" s="670">
        <f t="shared" si="66"/>
        <v>819921.6</v>
      </c>
      <c r="H170" s="1052">
        <f t="shared" si="66"/>
        <v>1518394.25</v>
      </c>
      <c r="I170" s="1052">
        <f t="shared" si="66"/>
        <v>467275</v>
      </c>
      <c r="J170" s="1052">
        <f t="shared" si="66"/>
        <v>1768394.25</v>
      </c>
      <c r="K170" s="1052">
        <f t="shared" si="66"/>
        <v>1768394</v>
      </c>
      <c r="L170" s="1052">
        <f t="shared" si="66"/>
        <v>0</v>
      </c>
      <c r="M170" s="1052">
        <f t="shared" si="66"/>
        <v>0</v>
      </c>
      <c r="N170" s="1052">
        <f t="shared" si="66"/>
        <v>249999.75</v>
      </c>
      <c r="O170" s="1052">
        <f t="shared" si="66"/>
        <v>249999.75</v>
      </c>
      <c r="P170" s="1052">
        <f t="shared" si="66"/>
        <v>684736</v>
      </c>
      <c r="Q170" s="1052">
        <f t="shared" si="66"/>
        <v>853029</v>
      </c>
      <c r="R170" s="1052">
        <f t="shared" si="66"/>
        <v>964867</v>
      </c>
      <c r="S170" s="1052">
        <f t="shared" si="66"/>
        <v>964867</v>
      </c>
    </row>
    <row r="171" spans="2:19" ht="15.6" customHeight="1" x14ac:dyDescent="0.25">
      <c r="B171" s="665"/>
      <c r="C171" s="672"/>
      <c r="D171" s="667"/>
      <c r="E171" s="667"/>
      <c r="F171" s="667"/>
      <c r="G171" s="667"/>
      <c r="H171" s="667"/>
      <c r="I171" s="667"/>
      <c r="J171" s="667"/>
      <c r="K171" s="948"/>
      <c r="L171" s="964"/>
      <c r="N171" s="514">
        <f t="shared" si="53"/>
        <v>0</v>
      </c>
      <c r="O171" s="968">
        <f t="shared" si="57"/>
        <v>0</v>
      </c>
      <c r="P171" s="516"/>
      <c r="Q171" s="516"/>
      <c r="R171" s="516"/>
      <c r="S171" s="516"/>
    </row>
    <row r="172" spans="2:19" ht="15.6" customHeight="1" x14ac:dyDescent="0.25">
      <c r="B172" s="664">
        <v>342200.93099999998</v>
      </c>
      <c r="C172" s="681" t="s">
        <v>1257</v>
      </c>
      <c r="D172" s="667">
        <f>'הוצאות '!E298*0.75</f>
        <v>30000</v>
      </c>
      <c r="E172" s="667">
        <v>0</v>
      </c>
      <c r="F172" s="667">
        <f>E172/10*2</f>
        <v>0</v>
      </c>
      <c r="G172" s="667">
        <f t="shared" si="62"/>
        <v>0</v>
      </c>
      <c r="H172" s="667">
        <f>'הוצאות '!I298*0.75</f>
        <v>30000</v>
      </c>
      <c r="I172" s="667">
        <v>64904</v>
      </c>
      <c r="J172" s="667">
        <f>'הוצאות '!K298*0.75</f>
        <v>129805.5</v>
      </c>
      <c r="K172" s="948">
        <v>132056</v>
      </c>
      <c r="L172" s="964"/>
      <c r="N172" s="514">
        <f t="shared" si="53"/>
        <v>102056</v>
      </c>
      <c r="O172" s="968">
        <f t="shared" si="57"/>
        <v>102056</v>
      </c>
      <c r="P172" s="516">
        <v>63452</v>
      </c>
      <c r="Q172" s="516">
        <v>63452</v>
      </c>
      <c r="R172" s="516">
        <v>10000</v>
      </c>
      <c r="S172" s="516">
        <f>R172</f>
        <v>10000</v>
      </c>
    </row>
    <row r="173" spans="2:19" ht="15.6" customHeight="1" x14ac:dyDescent="0.25">
      <c r="B173" s="665">
        <v>342200.93199999997</v>
      </c>
      <c r="C173" s="666" t="s">
        <v>1258</v>
      </c>
      <c r="D173" s="667">
        <f>'הוצאות '!E299*0.75</f>
        <v>37299.75</v>
      </c>
      <c r="E173" s="667">
        <v>31498</v>
      </c>
      <c r="F173" s="667">
        <f>E173/10*2</f>
        <v>6299.6</v>
      </c>
      <c r="G173" s="667">
        <f t="shared" si="62"/>
        <v>37797.599999999999</v>
      </c>
      <c r="H173" s="667">
        <f>'הוצאות '!I299*0.75</f>
        <v>37299.75</v>
      </c>
      <c r="I173" s="667">
        <f>-VLOOKUP(C173,'הכנסות לשלפה'!$C$1:$H$246,4,FALSE)</f>
        <v>15249</v>
      </c>
      <c r="J173" s="667">
        <f>'הוצאות '!K299*0.75</f>
        <v>37299.75</v>
      </c>
      <c r="K173" s="948">
        <v>37300</v>
      </c>
      <c r="L173" s="964"/>
      <c r="N173" s="514">
        <f t="shared" si="53"/>
        <v>0.25</v>
      </c>
      <c r="O173" s="968">
        <f t="shared" si="57"/>
        <v>0.25</v>
      </c>
      <c r="P173" s="516">
        <v>22881</v>
      </c>
      <c r="Q173" s="516">
        <v>54413</v>
      </c>
      <c r="R173" s="516">
        <v>27500</v>
      </c>
      <c r="S173" s="516">
        <f t="shared" ref="S173:S175" si="67">R173</f>
        <v>27500</v>
      </c>
    </row>
    <row r="174" spans="2:19" ht="15.6" customHeight="1" x14ac:dyDescent="0.25">
      <c r="B174" s="665">
        <v>342200.93</v>
      </c>
      <c r="C174" s="666" t="s">
        <v>803</v>
      </c>
      <c r="D174" s="667">
        <f>'הוצאות '!E297*0.75</f>
        <v>37299.75</v>
      </c>
      <c r="E174" s="667">
        <v>31082</v>
      </c>
      <c r="F174" s="667">
        <f>E174/10*2</f>
        <v>6216.4</v>
      </c>
      <c r="G174" s="667">
        <f t="shared" si="62"/>
        <v>37298.400000000001</v>
      </c>
      <c r="H174" s="667">
        <f>'הוצאות '!I297*0.75</f>
        <v>37299.75</v>
      </c>
      <c r="I174" s="667">
        <v>3221</v>
      </c>
      <c r="J174" s="667">
        <f>'הוצאות '!K297*0.75</f>
        <v>37299.75</v>
      </c>
      <c r="K174" s="948">
        <v>37300</v>
      </c>
      <c r="L174" s="964"/>
      <c r="N174" s="514">
        <f t="shared" si="53"/>
        <v>0.25</v>
      </c>
      <c r="O174" s="968">
        <f t="shared" si="57"/>
        <v>0.25</v>
      </c>
      <c r="P174" s="516">
        <v>37797</v>
      </c>
      <c r="Q174" s="516">
        <v>51301</v>
      </c>
      <c r="R174" s="516">
        <v>28300</v>
      </c>
      <c r="S174" s="516">
        <f t="shared" si="67"/>
        <v>28300</v>
      </c>
    </row>
    <row r="175" spans="2:19" ht="15.6" customHeight="1" x14ac:dyDescent="0.25">
      <c r="B175" s="665">
        <v>342200.93400000001</v>
      </c>
      <c r="C175" s="666" t="s">
        <v>3266</v>
      </c>
      <c r="D175" s="667">
        <v>262000</v>
      </c>
      <c r="E175" s="667">
        <v>7808</v>
      </c>
      <c r="F175" s="667">
        <f>E175/10*2</f>
        <v>1561.6</v>
      </c>
      <c r="G175" s="667">
        <f t="shared" si="62"/>
        <v>9369.6</v>
      </c>
      <c r="H175" s="667">
        <v>262000</v>
      </c>
      <c r="I175" s="667" t="e">
        <f>-VLOOKUP(C175,'הכנסות לשלפה'!$C$1:$H$246,4,FALSE)</f>
        <v>#N/A</v>
      </c>
      <c r="J175" s="667">
        <v>262000</v>
      </c>
      <c r="K175" s="948">
        <v>262000</v>
      </c>
      <c r="L175" s="964"/>
      <c r="N175" s="514">
        <f t="shared" si="53"/>
        <v>0</v>
      </c>
      <c r="O175" s="968">
        <f t="shared" si="57"/>
        <v>0</v>
      </c>
      <c r="P175" s="516">
        <v>0</v>
      </c>
      <c r="Q175" s="516">
        <f t="shared" ref="Q175" si="68">P175/9*12</f>
        <v>0</v>
      </c>
      <c r="R175" s="516">
        <f>202000</f>
        <v>202000</v>
      </c>
      <c r="S175" s="516">
        <f t="shared" si="67"/>
        <v>202000</v>
      </c>
    </row>
    <row r="176" spans="2:19" s="407" customFormat="1" ht="15.6" customHeight="1" x14ac:dyDescent="0.25">
      <c r="B176" s="686" t="s">
        <v>1260</v>
      </c>
      <c r="C176" s="694" t="s">
        <v>1261</v>
      </c>
      <c r="D176" s="670">
        <f>SUM(D172:D175)</f>
        <v>366599.5</v>
      </c>
      <c r="E176" s="670">
        <f t="shared" ref="E176:S176" si="69">SUM(E172:E175)</f>
        <v>70388</v>
      </c>
      <c r="F176" s="670">
        <f t="shared" si="69"/>
        <v>14077.6</v>
      </c>
      <c r="G176" s="670">
        <f t="shared" si="69"/>
        <v>84465.600000000006</v>
      </c>
      <c r="H176" s="670">
        <f t="shared" si="69"/>
        <v>366599.5</v>
      </c>
      <c r="I176" s="670" t="e">
        <f t="shared" si="69"/>
        <v>#N/A</v>
      </c>
      <c r="J176" s="670">
        <f t="shared" si="69"/>
        <v>466405</v>
      </c>
      <c r="K176" s="949">
        <f t="shared" si="69"/>
        <v>468656</v>
      </c>
      <c r="L176" s="949">
        <f t="shared" si="69"/>
        <v>0</v>
      </c>
      <c r="M176" s="949">
        <f t="shared" si="69"/>
        <v>0</v>
      </c>
      <c r="N176" s="949">
        <f t="shared" si="69"/>
        <v>102056.5</v>
      </c>
      <c r="O176" s="1040">
        <f t="shared" si="69"/>
        <v>102056.5</v>
      </c>
      <c r="P176" s="1052">
        <f t="shared" si="69"/>
        <v>124130</v>
      </c>
      <c r="Q176" s="1052">
        <f t="shared" si="69"/>
        <v>169166</v>
      </c>
      <c r="R176" s="1052">
        <f t="shared" si="69"/>
        <v>267800</v>
      </c>
      <c r="S176" s="1052">
        <f t="shared" si="69"/>
        <v>267800</v>
      </c>
    </row>
    <row r="177" spans="2:19" ht="15.6" customHeight="1" x14ac:dyDescent="0.25">
      <c r="B177" s="665"/>
      <c r="C177" s="681"/>
      <c r="D177" s="667"/>
      <c r="E177" s="667"/>
      <c r="F177" s="667"/>
      <c r="G177" s="667"/>
      <c r="H177" s="667"/>
      <c r="I177" s="667"/>
      <c r="J177" s="667"/>
      <c r="K177" s="948"/>
      <c r="L177" s="964"/>
      <c r="N177" s="514">
        <f t="shared" si="53"/>
        <v>0</v>
      </c>
      <c r="O177" s="968">
        <f t="shared" si="57"/>
        <v>0</v>
      </c>
      <c r="P177" s="516"/>
      <c r="Q177" s="516"/>
      <c r="R177" s="516"/>
      <c r="S177" s="516"/>
    </row>
    <row r="178" spans="2:19" ht="15.6" customHeight="1" x14ac:dyDescent="0.25">
      <c r="B178" s="685">
        <v>343500.93300000002</v>
      </c>
      <c r="C178" s="679" t="s">
        <v>1262</v>
      </c>
      <c r="D178" s="610">
        <v>68500</v>
      </c>
      <c r="E178" s="610">
        <v>0</v>
      </c>
      <c r="F178" s="667">
        <f>E178/10*2</f>
        <v>0</v>
      </c>
      <c r="G178" s="667">
        <f t="shared" si="62"/>
        <v>0</v>
      </c>
      <c r="H178" s="610">
        <v>68500</v>
      </c>
      <c r="I178" s="667">
        <v>0</v>
      </c>
      <c r="J178" s="610">
        <v>68500</v>
      </c>
      <c r="K178" s="948">
        <v>68500</v>
      </c>
      <c r="L178" s="964"/>
      <c r="N178" s="514">
        <f t="shared" si="53"/>
        <v>0</v>
      </c>
      <c r="O178" s="968">
        <f t="shared" si="57"/>
        <v>0</v>
      </c>
      <c r="P178" s="516"/>
      <c r="Q178" s="516"/>
      <c r="R178" s="516">
        <f>68500*0.75</f>
        <v>51375</v>
      </c>
      <c r="S178" s="516">
        <f>68500*0.75</f>
        <v>51375</v>
      </c>
    </row>
    <row r="179" spans="2:19" ht="15.6" customHeight="1" x14ac:dyDescent="0.25">
      <c r="B179" s="685">
        <v>343500.93099999998</v>
      </c>
      <c r="C179" s="679" t="s">
        <v>1263</v>
      </c>
      <c r="D179" s="610">
        <f>'הוצאות '!E305*0.75</f>
        <v>14000.25</v>
      </c>
      <c r="E179" s="610">
        <v>0</v>
      </c>
      <c r="F179" s="667">
        <f t="shared" ref="F179:F186" si="70">E179/10*2</f>
        <v>0</v>
      </c>
      <c r="G179" s="667">
        <f t="shared" si="62"/>
        <v>0</v>
      </c>
      <c r="H179" s="610">
        <f>'הוצאות '!I305*0.75</f>
        <v>14007.75</v>
      </c>
      <c r="I179" s="667">
        <f>-VLOOKUP(C179,'הכנסות לשלפה'!$C$1:$H$246,4,FALSE)</f>
        <v>0</v>
      </c>
      <c r="J179" s="610">
        <f>'הוצאות '!K305*0.75</f>
        <v>14007.75</v>
      </c>
      <c r="K179" s="948">
        <v>14008</v>
      </c>
      <c r="L179" s="964"/>
      <c r="N179" s="514">
        <f t="shared" si="53"/>
        <v>0.25</v>
      </c>
      <c r="O179" s="968">
        <f t="shared" si="57"/>
        <v>0.25</v>
      </c>
      <c r="P179" s="516">
        <v>3000</v>
      </c>
      <c r="Q179" s="516">
        <v>22629</v>
      </c>
      <c r="R179" s="516">
        <v>19000</v>
      </c>
      <c r="S179" s="516">
        <v>19000</v>
      </c>
    </row>
    <row r="180" spans="2:19" ht="15.6" customHeight="1" x14ac:dyDescent="0.25">
      <c r="B180" s="685">
        <v>345300.93400000001</v>
      </c>
      <c r="C180" s="679" t="s">
        <v>1264</v>
      </c>
      <c r="D180" s="610">
        <f>210000*0.75</f>
        <v>157500</v>
      </c>
      <c r="E180" s="610">
        <v>75948</v>
      </c>
      <c r="F180" s="667">
        <f t="shared" si="70"/>
        <v>15189.6</v>
      </c>
      <c r="G180" s="667">
        <f t="shared" si="62"/>
        <v>91137.600000000006</v>
      </c>
      <c r="H180" s="610">
        <f>210000*0.75</f>
        <v>157500</v>
      </c>
      <c r="I180" s="667">
        <v>39571</v>
      </c>
      <c r="J180" s="610">
        <f>210000*0.75</f>
        <v>157500</v>
      </c>
      <c r="K180" s="948">
        <v>157500</v>
      </c>
      <c r="L180" s="964"/>
      <c r="N180" s="514">
        <f t="shared" si="53"/>
        <v>0</v>
      </c>
      <c r="O180" s="968">
        <f t="shared" si="57"/>
        <v>0</v>
      </c>
      <c r="P180" s="516">
        <v>120351</v>
      </c>
      <c r="Q180" s="516">
        <v>208107</v>
      </c>
      <c r="R180" s="516">
        <v>238700</v>
      </c>
      <c r="S180" s="516">
        <v>238700</v>
      </c>
    </row>
    <row r="181" spans="2:19" ht="15.6" customHeight="1" x14ac:dyDescent="0.25">
      <c r="B181" s="685">
        <v>343530.93</v>
      </c>
      <c r="C181" s="679" t="s">
        <v>3217</v>
      </c>
      <c r="D181" s="610"/>
      <c r="E181" s="610"/>
      <c r="F181" s="667"/>
      <c r="G181" s="667"/>
      <c r="H181" s="610"/>
      <c r="I181" s="667"/>
      <c r="J181" s="610"/>
      <c r="K181" s="948"/>
      <c r="L181" s="964"/>
      <c r="N181" s="514"/>
      <c r="O181" s="968"/>
      <c r="P181" s="516"/>
      <c r="Q181" s="516">
        <v>11746</v>
      </c>
      <c r="R181" s="516"/>
      <c r="S181" s="516"/>
    </row>
    <row r="182" spans="2:19" ht="15" customHeight="1" x14ac:dyDescent="0.25">
      <c r="B182" s="685">
        <v>343500.93</v>
      </c>
      <c r="C182" s="679" t="s">
        <v>1265</v>
      </c>
      <c r="D182" s="610">
        <f>106533*0.75</f>
        <v>79899.75</v>
      </c>
      <c r="E182" s="610">
        <v>66583</v>
      </c>
      <c r="F182" s="667">
        <f t="shared" si="70"/>
        <v>13316.6</v>
      </c>
      <c r="G182" s="667">
        <f t="shared" si="62"/>
        <v>79899.600000000006</v>
      </c>
      <c r="H182" s="610">
        <f>106533*0.75</f>
        <v>79899.75</v>
      </c>
      <c r="I182" s="667">
        <f>-VLOOKUP(C182,'הכנסות לשלפה'!$C$1:$H$246,4,FALSE)</f>
        <v>33828</v>
      </c>
      <c r="J182" s="610">
        <f>106533*0.75</f>
        <v>79899.75</v>
      </c>
      <c r="K182" s="948">
        <v>79900</v>
      </c>
      <c r="L182" s="964"/>
      <c r="N182" s="514">
        <f t="shared" si="53"/>
        <v>0.25</v>
      </c>
      <c r="O182" s="968">
        <f t="shared" si="57"/>
        <v>0.25</v>
      </c>
      <c r="P182" s="516">
        <v>54144</v>
      </c>
      <c r="Q182" s="516">
        <v>130850</v>
      </c>
      <c r="R182" s="516">
        <f>109733*0.75</f>
        <v>82299.75</v>
      </c>
      <c r="S182" s="516">
        <f>109733*0.75</f>
        <v>82299.75</v>
      </c>
    </row>
    <row r="183" spans="2:19" ht="15" customHeight="1" x14ac:dyDescent="0.25">
      <c r="B183" s="685">
        <v>343500.93199999997</v>
      </c>
      <c r="C183" s="679" t="s">
        <v>814</v>
      </c>
      <c r="D183" s="610">
        <f>'הוצאות '!E308*0.75</f>
        <v>750</v>
      </c>
      <c r="E183" s="610">
        <v>0</v>
      </c>
      <c r="F183" s="667">
        <f t="shared" si="70"/>
        <v>0</v>
      </c>
      <c r="G183" s="667">
        <f t="shared" si="62"/>
        <v>0</v>
      </c>
      <c r="H183" s="610">
        <f>'הוצאות '!I308*0.75</f>
        <v>750</v>
      </c>
      <c r="I183" s="667">
        <f>-VLOOKUP(C183,'הכנסות לשלפה'!$C$1:$H$246,4,FALSE)</f>
        <v>0</v>
      </c>
      <c r="J183" s="610">
        <f>'הוצאות '!K308*0.75</f>
        <v>750</v>
      </c>
      <c r="K183" s="948">
        <v>750</v>
      </c>
      <c r="L183" s="964"/>
      <c r="N183" s="514">
        <f t="shared" si="53"/>
        <v>0</v>
      </c>
      <c r="O183" s="968">
        <f t="shared" si="57"/>
        <v>0</v>
      </c>
      <c r="P183" s="516">
        <v>0</v>
      </c>
      <c r="Q183" s="516">
        <v>5800</v>
      </c>
      <c r="R183" s="516">
        <v>14000</v>
      </c>
      <c r="S183" s="516">
        <v>14000</v>
      </c>
    </row>
    <row r="184" spans="2:19" ht="15.6" customHeight="1" x14ac:dyDescent="0.25">
      <c r="B184" s="701">
        <v>343800.93</v>
      </c>
      <c r="C184" s="692" t="s">
        <v>1266</v>
      </c>
      <c r="D184" s="610">
        <v>218396</v>
      </c>
      <c r="E184" s="610">
        <f>21707+3880</f>
        <v>25587</v>
      </c>
      <c r="F184" s="667">
        <f t="shared" si="70"/>
        <v>5117.3999999999996</v>
      </c>
      <c r="G184" s="667">
        <f t="shared" si="62"/>
        <v>30704.400000000001</v>
      </c>
      <c r="H184" s="610">
        <f>'הוצאות '!I311*0.75</f>
        <v>218395.5</v>
      </c>
      <c r="I184" s="667">
        <f>-VLOOKUP(C184,'הכנסות לשלפה'!$C$1:$H$246,4,FALSE)</f>
        <v>0</v>
      </c>
      <c r="J184" s="610">
        <f>'הוצאות '!K311*0.75</f>
        <v>218395.5</v>
      </c>
      <c r="K184" s="948">
        <v>218396</v>
      </c>
      <c r="L184" s="964"/>
      <c r="N184" s="514">
        <f t="shared" si="53"/>
        <v>0.5</v>
      </c>
      <c r="O184" s="968">
        <f t="shared" si="57"/>
        <v>0.5</v>
      </c>
      <c r="P184" s="516">
        <v>44280</v>
      </c>
      <c r="Q184" s="516">
        <v>67966</v>
      </c>
      <c r="R184" s="516">
        <v>65385</v>
      </c>
      <c r="S184" s="516">
        <v>65385</v>
      </c>
    </row>
    <row r="185" spans="2:19" ht="15.6" customHeight="1" x14ac:dyDescent="0.25">
      <c r="B185" s="701">
        <v>343500.935</v>
      </c>
      <c r="C185" s="692" t="s">
        <v>818</v>
      </c>
      <c r="D185" s="610">
        <f>'הוצאות '!E312*0.75</f>
        <v>154917.75</v>
      </c>
      <c r="E185" s="610">
        <v>129095</v>
      </c>
      <c r="F185" s="667">
        <f t="shared" si="70"/>
        <v>25819</v>
      </c>
      <c r="G185" s="667">
        <f t="shared" si="62"/>
        <v>154914</v>
      </c>
      <c r="H185" s="610">
        <f>'הוצאות '!I312*0.75</f>
        <v>154917.75</v>
      </c>
      <c r="I185" s="667">
        <f>-VLOOKUP(C185,'הכנסות לשלפה'!$C$1:$H$246,4,FALSE)</f>
        <v>51586</v>
      </c>
      <c r="J185" s="610">
        <f>'הוצאות '!K312*0.75</f>
        <v>154917.75</v>
      </c>
      <c r="K185" s="948">
        <v>154918</v>
      </c>
      <c r="L185" s="964"/>
      <c r="N185" s="514">
        <f t="shared" si="53"/>
        <v>0.25</v>
      </c>
      <c r="O185" s="968">
        <f t="shared" si="57"/>
        <v>0.25</v>
      </c>
      <c r="P185" s="516">
        <v>117575</v>
      </c>
      <c r="Q185" s="516">
        <v>148585</v>
      </c>
      <c r="R185" s="516">
        <v>170606</v>
      </c>
      <c r="S185" s="516">
        <v>170606</v>
      </c>
    </row>
    <row r="186" spans="2:19" ht="15.6" customHeight="1" x14ac:dyDescent="0.25">
      <c r="B186" s="685">
        <v>343900.93</v>
      </c>
      <c r="C186" s="679" t="s">
        <v>1267</v>
      </c>
      <c r="D186" s="610">
        <v>485100</v>
      </c>
      <c r="E186" s="610">
        <f>268216+405770</f>
        <v>673986</v>
      </c>
      <c r="F186" s="667">
        <f t="shared" si="70"/>
        <v>134797.20000000001</v>
      </c>
      <c r="G186" s="667">
        <f t="shared" si="62"/>
        <v>808783.2</v>
      </c>
      <c r="H186" s="610">
        <f>'הוצאות '!I313*0.75</f>
        <v>485100</v>
      </c>
      <c r="I186" s="667">
        <f>-VLOOKUP(C186,'הכנסות לשלפה'!$C$1:$H$246,4,FALSE)</f>
        <v>388897</v>
      </c>
      <c r="J186" s="610">
        <f>'הוצאות '!K313*0.75</f>
        <v>485100</v>
      </c>
      <c r="K186" s="948">
        <v>485100</v>
      </c>
      <c r="L186" s="964"/>
      <c r="N186" s="514">
        <f t="shared" si="53"/>
        <v>0</v>
      </c>
      <c r="O186" s="968">
        <f t="shared" si="57"/>
        <v>0</v>
      </c>
      <c r="P186" s="516">
        <v>585501</v>
      </c>
      <c r="Q186" s="516">
        <v>807706</v>
      </c>
      <c r="R186" s="516">
        <v>680697</v>
      </c>
      <c r="S186" s="516">
        <v>680697</v>
      </c>
    </row>
    <row r="187" spans="2:19" ht="15" hidden="1" x14ac:dyDescent="0.25">
      <c r="B187" s="685">
        <v>343000.42</v>
      </c>
      <c r="C187" s="679" t="s">
        <v>3221</v>
      </c>
      <c r="D187" s="610"/>
      <c r="E187" s="610"/>
      <c r="F187" s="667"/>
      <c r="G187" s="667"/>
      <c r="H187" s="610"/>
      <c r="I187" s="667"/>
      <c r="J187" s="610"/>
      <c r="K187" s="948"/>
      <c r="L187" s="964"/>
      <c r="N187" s="514"/>
      <c r="O187" s="968"/>
      <c r="P187" s="516"/>
      <c r="Q187" s="516"/>
      <c r="R187" s="516">
        <v>0</v>
      </c>
      <c r="S187" s="516">
        <v>0</v>
      </c>
    </row>
    <row r="188" spans="2:19" s="407" customFormat="1" ht="15.6" customHeight="1" x14ac:dyDescent="0.25">
      <c r="B188" s="686" t="s">
        <v>1268</v>
      </c>
      <c r="C188" s="694" t="s">
        <v>1269</v>
      </c>
      <c r="D188" s="670">
        <f>SUM(D178:D186)</f>
        <v>1179063.75</v>
      </c>
      <c r="E188" s="670">
        <f t="shared" ref="E188:P188" si="71">SUM(E178:E186)</f>
        <v>971199</v>
      </c>
      <c r="F188" s="670">
        <f t="shared" si="71"/>
        <v>194239.80000000002</v>
      </c>
      <c r="G188" s="670">
        <f t="shared" si="71"/>
        <v>1165438.7999999998</v>
      </c>
      <c r="H188" s="670">
        <f t="shared" si="71"/>
        <v>1179070.75</v>
      </c>
      <c r="I188" s="670">
        <f t="shared" si="71"/>
        <v>513882</v>
      </c>
      <c r="J188" s="670">
        <f t="shared" si="71"/>
        <v>1179070.75</v>
      </c>
      <c r="K188" s="949">
        <f t="shared" si="71"/>
        <v>1179072</v>
      </c>
      <c r="L188" s="949">
        <f t="shared" si="71"/>
        <v>0</v>
      </c>
      <c r="M188" s="949">
        <f t="shared" si="71"/>
        <v>0</v>
      </c>
      <c r="N188" s="949">
        <f t="shared" si="71"/>
        <v>1.25</v>
      </c>
      <c r="O188" s="1040">
        <f t="shared" si="71"/>
        <v>1.25</v>
      </c>
      <c r="P188" s="1052">
        <f t="shared" si="71"/>
        <v>924851</v>
      </c>
      <c r="Q188" s="1052">
        <f>SUM(Q178:Q187)</f>
        <v>1403389</v>
      </c>
      <c r="R188" s="1052">
        <f>SUM(R178:R187)</f>
        <v>1322062.75</v>
      </c>
      <c r="S188" s="1052">
        <f>SUM(S178:S187)</f>
        <v>1322062.75</v>
      </c>
    </row>
    <row r="189" spans="2:19" ht="15.6" customHeight="1" x14ac:dyDescent="0.25">
      <c r="B189" s="665"/>
      <c r="C189" s="697"/>
      <c r="D189" s="667"/>
      <c r="E189" s="667"/>
      <c r="F189" s="667"/>
      <c r="G189" s="667"/>
      <c r="H189" s="667"/>
      <c r="I189" s="667"/>
      <c r="J189" s="667"/>
      <c r="K189" s="948"/>
      <c r="L189" s="964"/>
      <c r="N189" s="514">
        <f t="shared" si="53"/>
        <v>0</v>
      </c>
      <c r="O189" s="968">
        <f t="shared" si="57"/>
        <v>0</v>
      </c>
      <c r="P189" s="516"/>
      <c r="Q189" s="516"/>
      <c r="R189" s="516"/>
      <c r="S189" s="516"/>
    </row>
    <row r="190" spans="2:19" ht="15.6" customHeight="1" x14ac:dyDescent="0.25">
      <c r="B190" s="665">
        <v>344300.93</v>
      </c>
      <c r="C190" s="681" t="s">
        <v>1270</v>
      </c>
      <c r="D190" s="667">
        <f>'הוצאות '!E317*0.75</f>
        <v>40347</v>
      </c>
      <c r="E190" s="667">
        <v>46771</v>
      </c>
      <c r="F190" s="667">
        <f t="shared" ref="F190:F198" si="72">E190/10*2</f>
        <v>9354.2000000000007</v>
      </c>
      <c r="G190" s="667">
        <f t="shared" si="62"/>
        <v>56125.2</v>
      </c>
      <c r="H190" s="667">
        <f>'הוצאות '!I317*0.75</f>
        <v>40357.5</v>
      </c>
      <c r="I190" s="667">
        <v>29164</v>
      </c>
      <c r="J190" s="667">
        <f>'הוצאות '!K317*0.75</f>
        <v>83554.5</v>
      </c>
      <c r="K190" s="948">
        <v>83285</v>
      </c>
      <c r="L190" s="964"/>
      <c r="N190" s="514">
        <f t="shared" si="53"/>
        <v>42927.5</v>
      </c>
      <c r="O190" s="968">
        <f t="shared" si="57"/>
        <v>42927.5</v>
      </c>
      <c r="P190" s="516">
        <v>29164</v>
      </c>
      <c r="Q190" s="516">
        <v>48952</v>
      </c>
      <c r="R190" s="516">
        <v>44379</v>
      </c>
      <c r="S190" s="516">
        <v>44379</v>
      </c>
    </row>
    <row r="191" spans="2:19" ht="15.6" customHeight="1" x14ac:dyDescent="0.25">
      <c r="B191" s="665">
        <v>344400.93</v>
      </c>
      <c r="C191" s="681" t="s">
        <v>825</v>
      </c>
      <c r="D191" s="667">
        <v>40000</v>
      </c>
      <c r="E191" s="667">
        <v>0</v>
      </c>
      <c r="F191" s="667">
        <f t="shared" si="72"/>
        <v>0</v>
      </c>
      <c r="G191" s="667">
        <f t="shared" si="62"/>
        <v>0</v>
      </c>
      <c r="H191" s="667">
        <v>40000</v>
      </c>
      <c r="I191" s="667">
        <f>-VLOOKUP(C191,'הכנסות לשלפה'!$C$1:$H$246,4,FALSE)</f>
        <v>10332</v>
      </c>
      <c r="J191" s="667">
        <v>40000</v>
      </c>
      <c r="K191" s="948">
        <v>40000</v>
      </c>
      <c r="L191" s="964"/>
      <c r="N191" s="514">
        <f t="shared" si="53"/>
        <v>0</v>
      </c>
      <c r="O191" s="968">
        <f t="shared" si="57"/>
        <v>0</v>
      </c>
      <c r="P191" s="516">
        <v>10332</v>
      </c>
      <c r="Q191" s="516">
        <v>44044</v>
      </c>
      <c r="R191" s="516">
        <v>10000</v>
      </c>
      <c r="S191" s="516">
        <v>10000</v>
      </c>
    </row>
    <row r="192" spans="2:19" ht="15.6" customHeight="1" x14ac:dyDescent="0.25">
      <c r="B192" s="665">
        <v>344400.93099999998</v>
      </c>
      <c r="C192" s="681" t="s">
        <v>1271</v>
      </c>
      <c r="D192" s="667">
        <f>'הוצאות '!E320*0.75</f>
        <v>6999.75</v>
      </c>
      <c r="E192" s="667">
        <v>0</v>
      </c>
      <c r="F192" s="667">
        <f t="shared" si="72"/>
        <v>0</v>
      </c>
      <c r="G192" s="667">
        <f t="shared" si="62"/>
        <v>0</v>
      </c>
      <c r="H192" s="667">
        <f>'הוצאות '!I320*0.75</f>
        <v>6999.75</v>
      </c>
      <c r="I192" s="667">
        <f>-VLOOKUP(C192,'הכנסות לשלפה'!$C$1:$H$246,4,FALSE)</f>
        <v>0</v>
      </c>
      <c r="J192" s="667">
        <f>'הוצאות '!K320*0.75</f>
        <v>6999.75</v>
      </c>
      <c r="K192" s="948">
        <v>7000</v>
      </c>
      <c r="L192" s="964"/>
      <c r="N192" s="514">
        <f t="shared" si="53"/>
        <v>0.25</v>
      </c>
      <c r="O192" s="968">
        <f t="shared" si="57"/>
        <v>0.25</v>
      </c>
      <c r="P192" s="516">
        <v>0</v>
      </c>
      <c r="Q192" s="516">
        <f t="shared" ref="Q192:Q195" si="73">P192/9*12</f>
        <v>0</v>
      </c>
      <c r="R192" s="516">
        <v>12820</v>
      </c>
      <c r="S192" s="516">
        <v>12820</v>
      </c>
    </row>
    <row r="193" spans="2:19" ht="15.6" customHeight="1" x14ac:dyDescent="0.25">
      <c r="B193" s="665">
        <v>344400.93199999997</v>
      </c>
      <c r="C193" s="666" t="s">
        <v>1272</v>
      </c>
      <c r="D193" s="667">
        <f>'הוצאות '!E321*0.75</f>
        <v>62000.25</v>
      </c>
      <c r="E193" s="667">
        <v>55832</v>
      </c>
      <c r="F193" s="667">
        <f t="shared" si="72"/>
        <v>11166.4</v>
      </c>
      <c r="G193" s="667">
        <f t="shared" si="62"/>
        <v>66998.399999999994</v>
      </c>
      <c r="H193" s="667">
        <f>'הוצאות '!I321*0.75</f>
        <v>62000.25</v>
      </c>
      <c r="I193" s="667">
        <f>-VLOOKUP(C193,'הכנסות לשלפה'!$C$1:$H$246,4,FALSE)</f>
        <v>33493</v>
      </c>
      <c r="J193" s="667">
        <f>'הוצאות '!K321*0.75</f>
        <v>62000.25</v>
      </c>
      <c r="K193" s="948">
        <v>62000</v>
      </c>
      <c r="L193" s="964"/>
      <c r="N193" s="514">
        <f t="shared" si="53"/>
        <v>-0.25</v>
      </c>
      <c r="O193" s="968">
        <f t="shared" si="57"/>
        <v>-0.25</v>
      </c>
      <c r="P193" s="516">
        <v>50255</v>
      </c>
      <c r="Q193" s="516">
        <v>91643</v>
      </c>
      <c r="R193" s="516">
        <v>83000</v>
      </c>
      <c r="S193" s="516">
        <v>83000</v>
      </c>
    </row>
    <row r="194" spans="2:19" ht="15.6" customHeight="1" x14ac:dyDescent="0.25">
      <c r="B194" s="665">
        <v>344400.93300000002</v>
      </c>
      <c r="C194" s="666" t="s">
        <v>1273</v>
      </c>
      <c r="D194" s="667">
        <f>'הוצאות '!E323*0.75</f>
        <v>23499.75</v>
      </c>
      <c r="E194" s="667">
        <v>1729</v>
      </c>
      <c r="F194" s="667">
        <f t="shared" si="72"/>
        <v>345.8</v>
      </c>
      <c r="G194" s="667">
        <f t="shared" si="62"/>
        <v>2074.8000000000002</v>
      </c>
      <c r="H194" s="667">
        <f>'הוצאות '!I323*0.75</f>
        <v>23499.75</v>
      </c>
      <c r="I194" s="667">
        <v>18163</v>
      </c>
      <c r="J194" s="667">
        <f>'הוצאות '!K323*0.75</f>
        <v>23499.75</v>
      </c>
      <c r="K194" s="948">
        <v>23500</v>
      </c>
      <c r="L194" s="964"/>
      <c r="N194" s="514">
        <f t="shared" si="53"/>
        <v>0.25</v>
      </c>
      <c r="O194" s="968">
        <f t="shared" si="57"/>
        <v>0.25</v>
      </c>
      <c r="P194" s="516">
        <v>7248</v>
      </c>
      <c r="Q194" s="516">
        <v>31009</v>
      </c>
      <c r="R194" s="516">
        <f>55000*0.75</f>
        <v>41250</v>
      </c>
      <c r="S194" s="516">
        <f>55000*0.75</f>
        <v>41250</v>
      </c>
    </row>
    <row r="195" spans="2:19" ht="15.6" customHeight="1" x14ac:dyDescent="0.25">
      <c r="B195" s="665">
        <v>344450.93</v>
      </c>
      <c r="C195" s="666" t="s">
        <v>1274</v>
      </c>
      <c r="D195" s="667">
        <v>40000</v>
      </c>
      <c r="E195" s="667">
        <v>0</v>
      </c>
      <c r="F195" s="667">
        <f t="shared" si="72"/>
        <v>0</v>
      </c>
      <c r="G195" s="667">
        <f t="shared" si="62"/>
        <v>0</v>
      </c>
      <c r="H195" s="667">
        <v>40000</v>
      </c>
      <c r="I195" s="667">
        <f>-VLOOKUP(C195,'הכנסות לשלפה'!$C$1:$H$246,4,FALSE)</f>
        <v>0</v>
      </c>
      <c r="J195" s="667">
        <v>40000</v>
      </c>
      <c r="K195" s="948">
        <v>40000</v>
      </c>
      <c r="L195" s="964"/>
      <c r="N195" s="514">
        <f t="shared" si="53"/>
        <v>0</v>
      </c>
      <c r="O195" s="968">
        <f t="shared" si="57"/>
        <v>0</v>
      </c>
      <c r="P195" s="516">
        <v>0</v>
      </c>
      <c r="Q195" s="516">
        <f t="shared" si="73"/>
        <v>0</v>
      </c>
      <c r="R195" s="516">
        <v>0</v>
      </c>
      <c r="S195" s="516">
        <v>0</v>
      </c>
    </row>
    <row r="196" spans="2:19" ht="15.6" customHeight="1" x14ac:dyDescent="0.25">
      <c r="B196" s="665">
        <v>344400.93400000001</v>
      </c>
      <c r="C196" s="666" t="s">
        <v>1275</v>
      </c>
      <c r="D196" s="667">
        <v>48000</v>
      </c>
      <c r="E196" s="667">
        <v>37753</v>
      </c>
      <c r="F196" s="667">
        <f t="shared" si="72"/>
        <v>7550.6</v>
      </c>
      <c r="G196" s="667">
        <f t="shared" si="62"/>
        <v>45303.6</v>
      </c>
      <c r="H196" s="667">
        <v>48000</v>
      </c>
      <c r="I196" s="667">
        <f>-VLOOKUP(C196,'הכנסות לשלפה'!$C$1:$H$246,4,FALSE)</f>
        <v>7080</v>
      </c>
      <c r="J196" s="667">
        <v>48000</v>
      </c>
      <c r="K196" s="948">
        <v>48000</v>
      </c>
      <c r="L196" s="964"/>
      <c r="N196" s="514">
        <f t="shared" si="53"/>
        <v>0</v>
      </c>
      <c r="O196" s="968">
        <f t="shared" si="57"/>
        <v>0</v>
      </c>
      <c r="P196" s="516">
        <v>10624</v>
      </c>
      <c r="Q196" s="516">
        <v>19207</v>
      </c>
      <c r="R196" s="516">
        <v>65241</v>
      </c>
      <c r="S196" s="516">
        <v>65241</v>
      </c>
    </row>
    <row r="197" spans="2:19" ht="15.6" customHeight="1" x14ac:dyDescent="0.25">
      <c r="B197" s="665">
        <v>344400.935</v>
      </c>
      <c r="C197" s="666" t="s">
        <v>1276</v>
      </c>
      <c r="D197" s="667">
        <f>'הוצאות '!E325*0.75</f>
        <v>114900</v>
      </c>
      <c r="E197" s="667">
        <v>108246</v>
      </c>
      <c r="F197" s="667">
        <f t="shared" si="72"/>
        <v>21649.200000000001</v>
      </c>
      <c r="G197" s="667">
        <f t="shared" si="62"/>
        <v>129895.2</v>
      </c>
      <c r="H197" s="667">
        <f>'הוצאות '!I325*0.75</f>
        <v>114900</v>
      </c>
      <c r="I197" s="667">
        <v>55391</v>
      </c>
      <c r="J197" s="667">
        <f>'הוצאות '!K325*0.75</f>
        <v>114900</v>
      </c>
      <c r="K197" s="948">
        <v>114900</v>
      </c>
      <c r="L197" s="964"/>
      <c r="N197" s="514">
        <f t="shared" si="53"/>
        <v>0</v>
      </c>
      <c r="O197" s="968">
        <f t="shared" si="57"/>
        <v>0</v>
      </c>
      <c r="P197" s="516">
        <v>89460</v>
      </c>
      <c r="Q197" s="516">
        <v>234897</v>
      </c>
      <c r="R197" s="516">
        <v>127400</v>
      </c>
      <c r="S197" s="516">
        <v>127400</v>
      </c>
    </row>
    <row r="198" spans="2:19" ht="15.6" customHeight="1" x14ac:dyDescent="0.25">
      <c r="B198" s="665">
        <v>344400.93599999999</v>
      </c>
      <c r="C198" s="666" t="s">
        <v>1277</v>
      </c>
      <c r="D198" s="667">
        <f>'הוצאות '!E326*0.75</f>
        <v>137655</v>
      </c>
      <c r="E198" s="667">
        <v>144216</v>
      </c>
      <c r="F198" s="667">
        <f t="shared" si="72"/>
        <v>28843.200000000001</v>
      </c>
      <c r="G198" s="667">
        <f t="shared" si="62"/>
        <v>173059.20000000001</v>
      </c>
      <c r="H198" s="667">
        <f>'הוצאות '!I326*0.75</f>
        <v>137655</v>
      </c>
      <c r="I198" s="667">
        <f>-VLOOKUP(C198,'הכנסות לשלפה'!$C$1:$H$246,4,FALSE)</f>
        <v>88274</v>
      </c>
      <c r="J198" s="667">
        <f>'הוצאות '!K326*0.75</f>
        <v>137655</v>
      </c>
      <c r="K198" s="948">
        <v>137655</v>
      </c>
      <c r="L198" s="964"/>
      <c r="N198" s="514">
        <f t="shared" si="53"/>
        <v>0</v>
      </c>
      <c r="O198" s="968">
        <f t="shared" si="57"/>
        <v>0</v>
      </c>
      <c r="P198" s="516">
        <v>154999</v>
      </c>
      <c r="Q198" s="516">
        <v>334826</v>
      </c>
      <c r="R198" s="516">
        <v>178740</v>
      </c>
      <c r="S198" s="516">
        <v>178740</v>
      </c>
    </row>
    <row r="199" spans="2:19" ht="15.6" hidden="1" customHeight="1" x14ac:dyDescent="0.25">
      <c r="B199" s="665">
        <v>344000.42</v>
      </c>
      <c r="C199" s="679" t="s">
        <v>3221</v>
      </c>
      <c r="D199" s="667"/>
      <c r="E199" s="667"/>
      <c r="F199" s="667"/>
      <c r="G199" s="667"/>
      <c r="H199" s="667"/>
      <c r="I199" s="667"/>
      <c r="J199" s="667"/>
      <c r="K199" s="948"/>
      <c r="L199" s="964"/>
      <c r="N199" s="514"/>
      <c r="O199" s="968"/>
      <c r="P199" s="516"/>
      <c r="Q199" s="516"/>
      <c r="R199" s="516">
        <v>0</v>
      </c>
      <c r="S199" s="516">
        <v>0</v>
      </c>
    </row>
    <row r="200" spans="2:19" s="407" customFormat="1" ht="15.6" customHeight="1" x14ac:dyDescent="0.25">
      <c r="B200" s="686" t="s">
        <v>1278</v>
      </c>
      <c r="C200" s="687" t="s">
        <v>1279</v>
      </c>
      <c r="D200" s="670">
        <f>SUM(D190:D198)</f>
        <v>513401.75</v>
      </c>
      <c r="E200" s="670">
        <f t="shared" ref="E200:S200" si="74">SUM(E190:E198)</f>
        <v>394547</v>
      </c>
      <c r="F200" s="670">
        <f t="shared" si="74"/>
        <v>78909.399999999994</v>
      </c>
      <c r="G200" s="670">
        <f t="shared" si="74"/>
        <v>473456.4</v>
      </c>
      <c r="H200" s="670">
        <f t="shared" si="74"/>
        <v>513412.25</v>
      </c>
      <c r="I200" s="670">
        <f t="shared" si="74"/>
        <v>241897</v>
      </c>
      <c r="J200" s="670">
        <f t="shared" si="74"/>
        <v>556609.25</v>
      </c>
      <c r="K200" s="949">
        <f t="shared" si="74"/>
        <v>556340</v>
      </c>
      <c r="L200" s="949">
        <f t="shared" si="74"/>
        <v>0</v>
      </c>
      <c r="M200" s="949">
        <f t="shared" si="74"/>
        <v>0</v>
      </c>
      <c r="N200" s="949">
        <f t="shared" si="74"/>
        <v>42927.75</v>
      </c>
      <c r="O200" s="1040">
        <f t="shared" si="74"/>
        <v>42927.75</v>
      </c>
      <c r="P200" s="1052">
        <f t="shared" si="74"/>
        <v>352082</v>
      </c>
      <c r="Q200" s="1052">
        <f>SUM(Q190:Q199)</f>
        <v>804578</v>
      </c>
      <c r="R200" s="1052">
        <f>SUM(R190:R199)</f>
        <v>562830</v>
      </c>
      <c r="S200" s="1052">
        <f t="shared" si="74"/>
        <v>562830</v>
      </c>
    </row>
    <row r="201" spans="2:19" ht="15.6" customHeight="1" x14ac:dyDescent="0.25">
      <c r="B201" s="665"/>
      <c r="C201" s="672"/>
      <c r="D201" s="667"/>
      <c r="E201" s="667"/>
      <c r="F201" s="667">
        <f t="shared" si="61"/>
        <v>0</v>
      </c>
      <c r="G201" s="667"/>
      <c r="H201" s="667"/>
      <c r="I201" s="667"/>
      <c r="J201" s="667"/>
      <c r="K201" s="948">
        <f t="shared" si="64"/>
        <v>0</v>
      </c>
      <c r="L201" s="964"/>
      <c r="N201" s="514">
        <f t="shared" si="53"/>
        <v>0</v>
      </c>
      <c r="O201" s="968">
        <f t="shared" si="57"/>
        <v>0</v>
      </c>
      <c r="P201" s="516"/>
      <c r="Q201" s="516"/>
      <c r="R201" s="516"/>
      <c r="S201" s="516"/>
    </row>
    <row r="202" spans="2:19" ht="15.6" customHeight="1" x14ac:dyDescent="0.25">
      <c r="B202" s="685">
        <v>345100.93</v>
      </c>
      <c r="C202" s="679" t="s">
        <v>1280</v>
      </c>
      <c r="D202" s="610">
        <f>'הוצאות '!E329*0.75</f>
        <v>720360</v>
      </c>
      <c r="E202" s="610">
        <v>738314</v>
      </c>
      <c r="F202" s="667">
        <f t="shared" ref="F202:F212" si="75">E202/10*2</f>
        <v>147662.79999999999</v>
      </c>
      <c r="G202" s="667">
        <f t="shared" si="62"/>
        <v>885976.8</v>
      </c>
      <c r="H202" s="610">
        <f>'הוצאות '!I329*0.75</f>
        <v>720360</v>
      </c>
      <c r="I202" s="667">
        <v>523982</v>
      </c>
      <c r="J202" s="610">
        <f>'הוצאות '!K329*0.75</f>
        <v>720360</v>
      </c>
      <c r="K202" s="948">
        <v>720360</v>
      </c>
      <c r="L202" s="964"/>
      <c r="N202" s="514">
        <f t="shared" si="53"/>
        <v>0</v>
      </c>
      <c r="O202" s="968">
        <f t="shared" si="57"/>
        <v>0</v>
      </c>
      <c r="P202" s="516">
        <v>791991</v>
      </c>
      <c r="Q202" s="516">
        <v>1083330</v>
      </c>
      <c r="R202" s="516">
        <v>980586</v>
      </c>
      <c r="S202" s="516">
        <f>R202</f>
        <v>980586</v>
      </c>
    </row>
    <row r="203" spans="2:19" ht="15.6" customHeight="1" x14ac:dyDescent="0.25">
      <c r="B203" s="685">
        <v>345200.93</v>
      </c>
      <c r="C203" s="679" t="s">
        <v>1967</v>
      </c>
      <c r="D203" s="610"/>
      <c r="E203" s="610"/>
      <c r="F203" s="667"/>
      <c r="G203" s="667"/>
      <c r="H203" s="610"/>
      <c r="I203" s="667"/>
      <c r="J203" s="610"/>
      <c r="K203" s="948"/>
      <c r="L203" s="964"/>
      <c r="N203" s="514"/>
      <c r="O203" s="968"/>
      <c r="P203" s="516"/>
      <c r="Q203" s="516">
        <v>14089</v>
      </c>
      <c r="R203" s="516">
        <v>20000</v>
      </c>
      <c r="S203" s="516">
        <v>20000</v>
      </c>
    </row>
    <row r="204" spans="2:19" ht="15.6" customHeight="1" x14ac:dyDescent="0.25">
      <c r="B204" s="685">
        <v>345100.93099999998</v>
      </c>
      <c r="C204" s="679" t="s">
        <v>1281</v>
      </c>
      <c r="D204" s="610">
        <v>128043</v>
      </c>
      <c r="E204" s="610">
        <f>6666+99750</f>
        <v>106416</v>
      </c>
      <c r="F204" s="667">
        <f t="shared" si="75"/>
        <v>21283.200000000001</v>
      </c>
      <c r="G204" s="667">
        <f t="shared" si="62"/>
        <v>127699.2</v>
      </c>
      <c r="H204" s="610">
        <f>'הוצאות '!I331*0.75</f>
        <v>128043</v>
      </c>
      <c r="I204" s="667">
        <v>59850</v>
      </c>
      <c r="J204" s="610">
        <f>'הוצאות '!K331*0.75</f>
        <v>128043</v>
      </c>
      <c r="K204" s="948">
        <v>128043</v>
      </c>
      <c r="L204" s="964"/>
      <c r="N204" s="514">
        <f t="shared" si="53"/>
        <v>0</v>
      </c>
      <c r="O204" s="968">
        <f t="shared" si="57"/>
        <v>0</v>
      </c>
      <c r="P204" s="516">
        <f>1670+89775</f>
        <v>91445</v>
      </c>
      <c r="Q204" s="516">
        <v>119700</v>
      </c>
      <c r="R204" s="516">
        <f>9975/2*12+2925</f>
        <v>62775</v>
      </c>
      <c r="S204" s="516">
        <f t="shared" ref="S204:S212" si="76">R204</f>
        <v>62775</v>
      </c>
    </row>
    <row r="205" spans="2:19" ht="15.6" customHeight="1" x14ac:dyDescent="0.25">
      <c r="B205" s="685">
        <v>343500.93599999999</v>
      </c>
      <c r="C205" s="679" t="s">
        <v>1282</v>
      </c>
      <c r="D205" s="610">
        <f>'הוצאות '!E332*0.75</f>
        <v>11499.75</v>
      </c>
      <c r="E205" s="610">
        <v>34582</v>
      </c>
      <c r="F205" s="667">
        <f t="shared" si="75"/>
        <v>6916.4</v>
      </c>
      <c r="G205" s="667">
        <f t="shared" si="62"/>
        <v>41498.400000000001</v>
      </c>
      <c r="H205" s="610">
        <f>'הוצאות '!I332*0.75</f>
        <v>11499.75</v>
      </c>
      <c r="I205" s="667">
        <v>7797</v>
      </c>
      <c r="J205" s="610">
        <f>'הוצאות '!K332*0.75</f>
        <v>38529</v>
      </c>
      <c r="K205" s="948">
        <v>38529</v>
      </c>
      <c r="L205" s="964"/>
      <c r="N205" s="514">
        <f t="shared" si="53"/>
        <v>27029.25</v>
      </c>
      <c r="O205" s="968">
        <f t="shared" si="57"/>
        <v>27029.25</v>
      </c>
      <c r="P205" s="516">
        <v>47246</v>
      </c>
      <c r="Q205" s="516">
        <v>65088</v>
      </c>
      <c r="R205" s="516">
        <v>15600</v>
      </c>
      <c r="S205" s="516">
        <f t="shared" si="76"/>
        <v>15600</v>
      </c>
    </row>
    <row r="206" spans="2:19" ht="15.6" customHeight="1" x14ac:dyDescent="0.25">
      <c r="B206" s="685">
        <v>345200.93099999998</v>
      </c>
      <c r="C206" s="679" t="s">
        <v>838</v>
      </c>
      <c r="D206" s="610">
        <v>1500</v>
      </c>
      <c r="E206" s="610">
        <v>863</v>
      </c>
      <c r="F206" s="667">
        <f t="shared" si="75"/>
        <v>172.6</v>
      </c>
      <c r="G206" s="667">
        <f t="shared" si="62"/>
        <v>1035.5999999999999</v>
      </c>
      <c r="H206" s="610">
        <f>'הוצאות '!I333*0.75</f>
        <v>1500</v>
      </c>
      <c r="I206" s="667">
        <f>-VLOOKUP(C206,'הכנסות לשלפה'!$C$1:$H$246,4,FALSE)</f>
        <v>0</v>
      </c>
      <c r="J206" s="610">
        <f>'הוצאות '!K333*0.75</f>
        <v>1500</v>
      </c>
      <c r="K206" s="948">
        <v>1500</v>
      </c>
      <c r="L206" s="964"/>
      <c r="N206" s="514">
        <f t="shared" si="53"/>
        <v>0</v>
      </c>
      <c r="O206" s="968">
        <f t="shared" si="57"/>
        <v>0</v>
      </c>
      <c r="P206" s="516">
        <v>0</v>
      </c>
      <c r="Q206" s="516">
        <f t="shared" ref="Q206:Q212" si="77">P206/9*12</f>
        <v>0</v>
      </c>
      <c r="R206" s="516">
        <v>5000</v>
      </c>
      <c r="S206" s="516">
        <f t="shared" si="76"/>
        <v>5000</v>
      </c>
    </row>
    <row r="207" spans="2:19" ht="15.6" customHeight="1" x14ac:dyDescent="0.25">
      <c r="B207" s="685">
        <v>345200.93199999997</v>
      </c>
      <c r="C207" s="679" t="s">
        <v>1283</v>
      </c>
      <c r="D207" s="610">
        <f>'הוצאות '!E340*0.75</f>
        <v>232155</v>
      </c>
      <c r="E207" s="610">
        <v>145046</v>
      </c>
      <c r="F207" s="667">
        <f t="shared" si="75"/>
        <v>29009.200000000001</v>
      </c>
      <c r="G207" s="667">
        <f t="shared" si="62"/>
        <v>174055.2</v>
      </c>
      <c r="H207" s="610">
        <f>'הוצאות '!I340*0.75</f>
        <v>232155</v>
      </c>
      <c r="I207" s="667">
        <v>104908</v>
      </c>
      <c r="J207" s="610">
        <f>'הוצאות '!K340*0.75</f>
        <v>232155</v>
      </c>
      <c r="K207" s="948">
        <v>232155</v>
      </c>
      <c r="L207" s="964"/>
      <c r="N207" s="514">
        <f t="shared" si="53"/>
        <v>0</v>
      </c>
      <c r="O207" s="968">
        <f t="shared" si="57"/>
        <v>0</v>
      </c>
      <c r="P207" s="516">
        <v>148497</v>
      </c>
      <c r="Q207" s="516">
        <v>214756</v>
      </c>
      <c r="R207" s="516">
        <v>385920</v>
      </c>
      <c r="S207" s="516">
        <f t="shared" si="76"/>
        <v>385920</v>
      </c>
    </row>
    <row r="208" spans="2:19" ht="15.6" customHeight="1" x14ac:dyDescent="0.25">
      <c r="B208" s="685">
        <v>345400.93</v>
      </c>
      <c r="C208" s="679" t="s">
        <v>1284</v>
      </c>
      <c r="D208" s="610">
        <v>181296</v>
      </c>
      <c r="E208" s="610">
        <v>149959</v>
      </c>
      <c r="F208" s="667">
        <f t="shared" si="75"/>
        <v>29991.8</v>
      </c>
      <c r="G208" s="667">
        <f t="shared" si="62"/>
        <v>179950.8</v>
      </c>
      <c r="H208" s="610">
        <f>'הוצאות '!I341*0.75</f>
        <v>181296</v>
      </c>
      <c r="I208" s="667">
        <v>52594</v>
      </c>
      <c r="J208" s="673">
        <f>'הוצאות '!K341*0.75</f>
        <v>320073.75</v>
      </c>
      <c r="K208" s="948">
        <v>181296</v>
      </c>
      <c r="L208" s="964"/>
      <c r="N208" s="514">
        <f t="shared" si="53"/>
        <v>0</v>
      </c>
      <c r="O208" s="968">
        <f t="shared" si="57"/>
        <v>0</v>
      </c>
      <c r="P208" s="516">
        <v>84771</v>
      </c>
      <c r="Q208" s="516">
        <v>118353</v>
      </c>
      <c r="R208" s="516">
        <v>109656</v>
      </c>
      <c r="S208" s="516">
        <f t="shared" si="76"/>
        <v>109656</v>
      </c>
    </row>
    <row r="209" spans="2:19" ht="15.6" customHeight="1" x14ac:dyDescent="0.25">
      <c r="B209" s="685">
        <v>345400.93099999998</v>
      </c>
      <c r="C209" s="679" t="s">
        <v>1285</v>
      </c>
      <c r="D209" s="610">
        <v>0</v>
      </c>
      <c r="E209" s="610">
        <v>135109</v>
      </c>
      <c r="F209" s="667">
        <f t="shared" si="75"/>
        <v>27021.8</v>
      </c>
      <c r="G209" s="667">
        <f t="shared" si="62"/>
        <v>162130.79999999999</v>
      </c>
      <c r="H209" s="610">
        <v>0</v>
      </c>
      <c r="I209" s="667">
        <v>69389</v>
      </c>
      <c r="J209" s="610">
        <v>0</v>
      </c>
      <c r="K209" s="960">
        <f>I209*2</f>
        <v>138778</v>
      </c>
      <c r="L209" s="964"/>
      <c r="N209" s="514">
        <f t="shared" si="53"/>
        <v>138778</v>
      </c>
      <c r="O209" s="968">
        <f t="shared" si="57"/>
        <v>138778</v>
      </c>
      <c r="P209" s="516">
        <v>91675</v>
      </c>
      <c r="Q209" s="516">
        <v>108945</v>
      </c>
      <c r="R209" s="516">
        <v>0</v>
      </c>
      <c r="S209" s="516">
        <f t="shared" si="76"/>
        <v>0</v>
      </c>
    </row>
    <row r="210" spans="2:19" ht="15.6" customHeight="1" x14ac:dyDescent="0.25">
      <c r="B210" s="685">
        <v>345400.93199999997</v>
      </c>
      <c r="C210" s="679" t="s">
        <v>1286</v>
      </c>
      <c r="D210" s="610">
        <f>'הוצאות '!E343*0.75</f>
        <v>59600.25</v>
      </c>
      <c r="E210" s="610">
        <v>60499</v>
      </c>
      <c r="F210" s="667">
        <f t="shared" si="75"/>
        <v>12099.8</v>
      </c>
      <c r="G210" s="667">
        <f t="shared" si="62"/>
        <v>72598.8</v>
      </c>
      <c r="H210" s="610">
        <f>'הוצאות '!I343*0.75</f>
        <v>59600.25</v>
      </c>
      <c r="I210" s="667">
        <v>30644</v>
      </c>
      <c r="J210" s="610">
        <f>'הוצאות '!K343*0.75</f>
        <v>155241</v>
      </c>
      <c r="K210" s="948">
        <v>155241</v>
      </c>
      <c r="L210" s="964"/>
      <c r="N210" s="514">
        <f t="shared" si="53"/>
        <v>95640.75</v>
      </c>
      <c r="O210" s="968">
        <f t="shared" si="57"/>
        <v>95640.75</v>
      </c>
      <c r="P210" s="516">
        <v>75498</v>
      </c>
      <c r="Q210" s="516">
        <v>181647</v>
      </c>
      <c r="R210" s="516">
        <f>33814/2*12*0.75</f>
        <v>152163</v>
      </c>
      <c r="S210" s="516">
        <f t="shared" si="76"/>
        <v>152163</v>
      </c>
    </row>
    <row r="211" spans="2:19" ht="15.6" customHeight="1" x14ac:dyDescent="0.25">
      <c r="B211" s="685">
        <v>345400.93300000002</v>
      </c>
      <c r="C211" s="679" t="s">
        <v>1287</v>
      </c>
      <c r="D211" s="610">
        <f>'הוצאות '!E342*0.75</f>
        <v>4080</v>
      </c>
      <c r="E211" s="610">
        <v>3825</v>
      </c>
      <c r="F211" s="667">
        <f t="shared" si="75"/>
        <v>765</v>
      </c>
      <c r="G211" s="667">
        <f t="shared" si="62"/>
        <v>4590</v>
      </c>
      <c r="H211" s="610">
        <f>'הוצאות '!I342*0.75</f>
        <v>4080</v>
      </c>
      <c r="I211" s="667">
        <v>2598</v>
      </c>
      <c r="J211" s="610">
        <f>'הוצאות '!K342*0.75</f>
        <v>4080</v>
      </c>
      <c r="K211" s="948">
        <v>4080</v>
      </c>
      <c r="L211" s="964"/>
      <c r="N211" s="514">
        <f t="shared" si="53"/>
        <v>0</v>
      </c>
      <c r="O211" s="968">
        <f t="shared" si="57"/>
        <v>0</v>
      </c>
      <c r="P211" s="516">
        <v>3031</v>
      </c>
      <c r="Q211" s="516">
        <v>4994</v>
      </c>
      <c r="R211" s="516">
        <v>4410</v>
      </c>
      <c r="S211" s="516">
        <f t="shared" si="76"/>
        <v>4410</v>
      </c>
    </row>
    <row r="212" spans="2:19" ht="15.6" customHeight="1" x14ac:dyDescent="0.25">
      <c r="B212" s="685">
        <v>345330.93</v>
      </c>
      <c r="C212" s="679" t="s">
        <v>1288</v>
      </c>
      <c r="D212" s="610">
        <f>'הוצאות '!E344*0.75</f>
        <v>399.75</v>
      </c>
      <c r="E212" s="610">
        <v>0</v>
      </c>
      <c r="F212" s="667">
        <f t="shared" si="75"/>
        <v>0</v>
      </c>
      <c r="G212" s="667">
        <f t="shared" si="62"/>
        <v>0</v>
      </c>
      <c r="H212" s="610">
        <f>'הוצאות '!I344*0.75</f>
        <v>399.75</v>
      </c>
      <c r="I212" s="667">
        <v>0</v>
      </c>
      <c r="J212" s="610">
        <f>'הוצאות '!K344*0.75</f>
        <v>399.75</v>
      </c>
      <c r="K212" s="948">
        <v>400</v>
      </c>
      <c r="L212" s="964"/>
      <c r="N212" s="514">
        <f t="shared" si="53"/>
        <v>0.25</v>
      </c>
      <c r="O212" s="968">
        <f t="shared" si="57"/>
        <v>0.25</v>
      </c>
      <c r="P212" s="516">
        <v>0</v>
      </c>
      <c r="Q212" s="516">
        <f t="shared" si="77"/>
        <v>0</v>
      </c>
      <c r="R212" s="516">
        <v>0</v>
      </c>
      <c r="S212" s="516">
        <f t="shared" si="76"/>
        <v>0</v>
      </c>
    </row>
    <row r="213" spans="2:19" ht="15.6" hidden="1" customHeight="1" x14ac:dyDescent="0.25">
      <c r="B213" s="685">
        <v>345000.42</v>
      </c>
      <c r="C213" s="679" t="s">
        <v>3221</v>
      </c>
      <c r="D213" s="610"/>
      <c r="E213" s="610"/>
      <c r="F213" s="667"/>
      <c r="G213" s="667"/>
      <c r="H213" s="610"/>
      <c r="I213" s="667"/>
      <c r="J213" s="610"/>
      <c r="K213" s="948"/>
      <c r="L213" s="964"/>
      <c r="N213" s="514"/>
      <c r="O213" s="968"/>
      <c r="P213" s="516"/>
      <c r="Q213" s="516"/>
      <c r="R213" s="516"/>
      <c r="S213" s="516"/>
    </row>
    <row r="214" spans="2:19" s="407" customFormat="1" ht="15.6" customHeight="1" x14ac:dyDescent="0.25">
      <c r="B214" s="668" t="s">
        <v>1289</v>
      </c>
      <c r="C214" s="669" t="s">
        <v>1290</v>
      </c>
      <c r="D214" s="670">
        <f>SUM(D202:D212)</f>
        <v>1338933.75</v>
      </c>
      <c r="E214" s="670">
        <f t="shared" ref="E214:P214" si="78">SUM(E202:E212)</f>
        <v>1374613</v>
      </c>
      <c r="F214" s="670">
        <f t="shared" si="78"/>
        <v>274922.59999999998</v>
      </c>
      <c r="G214" s="670">
        <f t="shared" si="78"/>
        <v>1649535.6</v>
      </c>
      <c r="H214" s="670">
        <f t="shared" si="78"/>
        <v>1338933.75</v>
      </c>
      <c r="I214" s="670">
        <f t="shared" si="78"/>
        <v>851762</v>
      </c>
      <c r="J214" s="670">
        <f t="shared" si="78"/>
        <v>1600381.5</v>
      </c>
      <c r="K214" s="949">
        <f t="shared" si="78"/>
        <v>1600382</v>
      </c>
      <c r="L214" s="949">
        <f t="shared" si="78"/>
        <v>0</v>
      </c>
      <c r="M214" s="949">
        <f t="shared" si="78"/>
        <v>0</v>
      </c>
      <c r="N214" s="949">
        <f t="shared" si="78"/>
        <v>261448.25</v>
      </c>
      <c r="O214" s="1040">
        <f t="shared" si="78"/>
        <v>261448.25</v>
      </c>
      <c r="P214" s="1052">
        <f t="shared" si="78"/>
        <v>1334154</v>
      </c>
      <c r="Q214" s="1052">
        <f>SUM(Q202:Q213)</f>
        <v>1910902</v>
      </c>
      <c r="R214" s="1052">
        <f>SUM(R202:R213)</f>
        <v>1736110</v>
      </c>
      <c r="S214" s="1052">
        <f>SUM(S202:S213)</f>
        <v>1736110</v>
      </c>
    </row>
    <row r="215" spans="2:19" ht="15.6" customHeight="1" x14ac:dyDescent="0.25">
      <c r="B215" s="671"/>
      <c r="C215" s="672"/>
      <c r="D215" s="667"/>
      <c r="E215" s="667"/>
      <c r="F215" s="667">
        <f t="shared" si="61"/>
        <v>0</v>
      </c>
      <c r="G215" s="667"/>
      <c r="H215" s="667"/>
      <c r="I215" s="667"/>
      <c r="J215" s="667"/>
      <c r="K215" s="948"/>
      <c r="L215" s="964"/>
      <c r="N215" s="514">
        <f t="shared" si="53"/>
        <v>0</v>
      </c>
      <c r="O215" s="968">
        <f t="shared" si="57"/>
        <v>0</v>
      </c>
      <c r="P215" s="516"/>
      <c r="Q215" s="516"/>
      <c r="R215" s="516"/>
      <c r="S215" s="516"/>
    </row>
    <row r="216" spans="2:19" ht="15.6" customHeight="1" x14ac:dyDescent="0.25">
      <c r="B216" s="665">
        <v>346500.93</v>
      </c>
      <c r="C216" s="666" t="s">
        <v>852</v>
      </c>
      <c r="D216" s="667">
        <f>'הוצאות '!E347*0.75</f>
        <v>139158</v>
      </c>
      <c r="E216" s="667">
        <f>163021+12501</f>
        <v>175522</v>
      </c>
      <c r="F216" s="667">
        <f t="shared" ref="F216:F224" si="79">E216/10*2</f>
        <v>35104.400000000001</v>
      </c>
      <c r="G216" s="667">
        <f t="shared" si="62"/>
        <v>210626.4</v>
      </c>
      <c r="H216" s="667">
        <f>'הוצאות '!I347*0.75</f>
        <v>139158</v>
      </c>
      <c r="I216" s="667">
        <v>100422</v>
      </c>
      <c r="J216" s="667">
        <f>'הוצאות '!K347*0.75</f>
        <v>139158</v>
      </c>
      <c r="K216" s="948">
        <v>139158</v>
      </c>
      <c r="L216" s="964"/>
      <c r="N216" s="514">
        <f t="shared" si="53"/>
        <v>0</v>
      </c>
      <c r="O216" s="968">
        <f t="shared" si="57"/>
        <v>0</v>
      </c>
      <c r="P216" s="516">
        <v>152293</v>
      </c>
      <c r="Q216" s="516">
        <v>202960</v>
      </c>
      <c r="R216" s="516">
        <v>168372</v>
      </c>
      <c r="S216" s="516">
        <f>R216</f>
        <v>168372</v>
      </c>
    </row>
    <row r="217" spans="2:19" ht="15.6" customHeight="1" x14ac:dyDescent="0.25">
      <c r="B217" s="685">
        <v>346500.93099999998</v>
      </c>
      <c r="C217" s="679" t="s">
        <v>853</v>
      </c>
      <c r="D217" s="610">
        <f>'הוצאות '!E348*0.75</f>
        <v>12357.75</v>
      </c>
      <c r="E217" s="610">
        <v>10276</v>
      </c>
      <c r="F217" s="667">
        <f t="shared" si="79"/>
        <v>2055.1999999999998</v>
      </c>
      <c r="G217" s="667">
        <f t="shared" si="62"/>
        <v>12331.2</v>
      </c>
      <c r="H217" s="610">
        <f>'הוצאות '!I348*0.75</f>
        <v>12357.75</v>
      </c>
      <c r="I217" s="667">
        <f>-VLOOKUP(C217,'הכנסות לשלפה'!$C$1:$H$246,4,FALSE)</f>
        <v>5817</v>
      </c>
      <c r="J217" s="610">
        <f>'הוצאות '!K348*0.75</f>
        <v>21605.25</v>
      </c>
      <c r="K217" s="948">
        <v>12358</v>
      </c>
      <c r="L217" s="964"/>
      <c r="N217" s="514">
        <f t="shared" si="53"/>
        <v>0.25</v>
      </c>
      <c r="O217" s="968">
        <f t="shared" si="57"/>
        <v>0.25</v>
      </c>
      <c r="P217" s="516">
        <v>8729</v>
      </c>
      <c r="Q217" s="516">
        <v>12396</v>
      </c>
      <c r="R217" s="516">
        <v>12000</v>
      </c>
      <c r="S217" s="516">
        <f t="shared" ref="S217:S225" si="80">R217</f>
        <v>12000</v>
      </c>
    </row>
    <row r="218" spans="2:19" ht="15.6" customHeight="1" x14ac:dyDescent="0.25">
      <c r="B218" s="685">
        <v>346500.93199999997</v>
      </c>
      <c r="C218" s="679" t="s">
        <v>1291</v>
      </c>
      <c r="D218" s="610">
        <v>3000</v>
      </c>
      <c r="E218" s="610">
        <v>3487</v>
      </c>
      <c r="F218" s="667">
        <f t="shared" si="79"/>
        <v>697.4</v>
      </c>
      <c r="G218" s="667">
        <f t="shared" si="62"/>
        <v>4184.3999999999996</v>
      </c>
      <c r="H218" s="610">
        <f>'הוצאות '!I349*0.75</f>
        <v>3000</v>
      </c>
      <c r="I218" s="667">
        <f>-VLOOKUP(C218,'הכנסות לשלפה'!$C$1:$H$246,4,FALSE)</f>
        <v>2346</v>
      </c>
      <c r="J218" s="610">
        <f>'הוצאות '!K349*0.75</f>
        <v>3000</v>
      </c>
      <c r="K218" s="948">
        <v>3000</v>
      </c>
      <c r="L218" s="964"/>
      <c r="N218" s="514">
        <f t="shared" si="53"/>
        <v>0</v>
      </c>
      <c r="O218" s="968">
        <f t="shared" si="57"/>
        <v>0</v>
      </c>
      <c r="P218" s="516">
        <v>3520</v>
      </c>
      <c r="Q218" s="516">
        <v>4741</v>
      </c>
      <c r="R218" s="516">
        <v>4738</v>
      </c>
      <c r="S218" s="516">
        <f t="shared" si="80"/>
        <v>4738</v>
      </c>
    </row>
    <row r="219" spans="2:19" ht="15.6" customHeight="1" x14ac:dyDescent="0.25">
      <c r="B219" s="685">
        <v>346600.93</v>
      </c>
      <c r="C219" s="679" t="s">
        <v>2032</v>
      </c>
      <c r="D219" s="610"/>
      <c r="E219" s="610"/>
      <c r="F219" s="667"/>
      <c r="G219" s="667"/>
      <c r="H219" s="610"/>
      <c r="I219" s="667">
        <v>4624</v>
      </c>
      <c r="J219" s="610"/>
      <c r="K219" s="960">
        <f>I219*2</f>
        <v>9248</v>
      </c>
      <c r="L219" s="964"/>
      <c r="N219" s="514">
        <f t="shared" si="53"/>
        <v>9248</v>
      </c>
      <c r="O219" s="968">
        <f t="shared" si="57"/>
        <v>9248</v>
      </c>
      <c r="P219" s="516">
        <v>6952</v>
      </c>
      <c r="Q219" s="516">
        <f t="shared" ref="Q219" si="81">P219/9*12</f>
        <v>9269.3333333333339</v>
      </c>
      <c r="R219" s="516">
        <v>9225</v>
      </c>
      <c r="S219" s="516">
        <f t="shared" si="80"/>
        <v>9225</v>
      </c>
    </row>
    <row r="220" spans="2:19" ht="15.6" customHeight="1" x14ac:dyDescent="0.25">
      <c r="B220" s="665">
        <v>346600.93099999998</v>
      </c>
      <c r="C220" s="666" t="s">
        <v>1292</v>
      </c>
      <c r="D220" s="667">
        <f>'הוצאות '!E351*0.75</f>
        <v>34587</v>
      </c>
      <c r="E220" s="667">
        <v>30696</v>
      </c>
      <c r="F220" s="667">
        <f t="shared" si="79"/>
        <v>6139.2</v>
      </c>
      <c r="G220" s="667">
        <f t="shared" si="62"/>
        <v>36835.199999999997</v>
      </c>
      <c r="H220" s="667">
        <f>'הוצאות '!I351*0.75</f>
        <v>34587</v>
      </c>
      <c r="I220" s="667">
        <f>-VLOOKUP(C220,'הכנסות לשלפה'!$C$1:$H$246,4,FALSE)</f>
        <v>15033</v>
      </c>
      <c r="J220" s="667">
        <f>'הוצאות '!K351*0.75</f>
        <v>34587</v>
      </c>
      <c r="K220" s="948">
        <v>34587</v>
      </c>
      <c r="L220" s="964"/>
      <c r="N220" s="514">
        <f t="shared" ref="N220:N273" si="82">K220-H220</f>
        <v>0</v>
      </c>
      <c r="O220" s="968">
        <f t="shared" si="57"/>
        <v>0</v>
      </c>
      <c r="P220" s="516">
        <v>25833</v>
      </c>
      <c r="Q220" s="516">
        <v>36687</v>
      </c>
      <c r="R220" s="516">
        <v>41850</v>
      </c>
      <c r="S220" s="516">
        <f t="shared" si="80"/>
        <v>41850</v>
      </c>
    </row>
    <row r="221" spans="2:19" ht="15.6" customHeight="1" x14ac:dyDescent="0.25">
      <c r="B221" s="665">
        <v>346600.93199999997</v>
      </c>
      <c r="C221" s="666" t="s">
        <v>1293</v>
      </c>
      <c r="D221" s="667">
        <f>'הוצאות '!E352*0.75</f>
        <v>74400</v>
      </c>
      <c r="E221" s="667">
        <v>87000</v>
      </c>
      <c r="F221" s="667">
        <f t="shared" si="79"/>
        <v>17400</v>
      </c>
      <c r="G221" s="667">
        <f t="shared" si="62"/>
        <v>104400</v>
      </c>
      <c r="H221" s="667">
        <f>'הוצאות '!I352*0.75</f>
        <v>74400</v>
      </c>
      <c r="I221" s="667">
        <v>0</v>
      </c>
      <c r="J221" s="667">
        <f>'הוצאות '!K352*0.75</f>
        <v>74400</v>
      </c>
      <c r="K221" s="948">
        <v>74400</v>
      </c>
      <c r="L221" s="964"/>
      <c r="N221" s="514">
        <f t="shared" si="82"/>
        <v>0</v>
      </c>
      <c r="O221" s="968">
        <f t="shared" si="57"/>
        <v>0</v>
      </c>
      <c r="P221" s="516">
        <v>0</v>
      </c>
      <c r="Q221" s="516">
        <v>8775</v>
      </c>
      <c r="R221" s="516">
        <f>18324/2*12*0.75</f>
        <v>82458</v>
      </c>
      <c r="S221" s="516">
        <f t="shared" si="80"/>
        <v>82458</v>
      </c>
    </row>
    <row r="222" spans="2:19" ht="15.6" customHeight="1" x14ac:dyDescent="0.25">
      <c r="B222" s="685">
        <v>346600.93300000002</v>
      </c>
      <c r="C222" s="679" t="s">
        <v>1294</v>
      </c>
      <c r="D222" s="610">
        <f>'הוצאות '!E353*0.75</f>
        <v>7430.25</v>
      </c>
      <c r="E222" s="610">
        <v>6192</v>
      </c>
      <c r="F222" s="667">
        <f t="shared" si="79"/>
        <v>1238.4000000000001</v>
      </c>
      <c r="G222" s="667">
        <f t="shared" si="62"/>
        <v>7430.4</v>
      </c>
      <c r="H222" s="610">
        <f>'הוצאות '!I353*0.75</f>
        <v>7430.25</v>
      </c>
      <c r="I222" s="667">
        <v>0</v>
      </c>
      <c r="J222" s="610">
        <f>'הוצאות '!K353*0.75</f>
        <v>7430.25</v>
      </c>
      <c r="K222" s="948">
        <v>7430</v>
      </c>
      <c r="L222" s="964"/>
      <c r="N222" s="514">
        <f t="shared" si="82"/>
        <v>-0.25</v>
      </c>
      <c r="O222" s="968">
        <f t="shared" ref="O222:O273" si="83">K222-H222</f>
        <v>-0.25</v>
      </c>
      <c r="P222" s="516">
        <v>0</v>
      </c>
      <c r="Q222" s="516">
        <v>840</v>
      </c>
      <c r="R222" s="516">
        <v>1000</v>
      </c>
      <c r="S222" s="516">
        <f t="shared" si="80"/>
        <v>1000</v>
      </c>
    </row>
    <row r="223" spans="2:19" ht="15.6" customHeight="1" x14ac:dyDescent="0.25">
      <c r="B223" s="665">
        <v>346600.93400000001</v>
      </c>
      <c r="C223" s="666" t="s">
        <v>858</v>
      </c>
      <c r="D223" s="667">
        <f>'הוצאות '!E354*0.75</f>
        <v>5000.25</v>
      </c>
      <c r="E223" s="667">
        <v>0</v>
      </c>
      <c r="F223" s="667">
        <f t="shared" si="79"/>
        <v>0</v>
      </c>
      <c r="G223" s="667">
        <f t="shared" si="62"/>
        <v>0</v>
      </c>
      <c r="H223" s="667">
        <f>'הוצאות '!I354*0.75</f>
        <v>5000.25</v>
      </c>
      <c r="I223" s="667">
        <f>-VLOOKUP(C223,'הכנסות לשלפה'!$C$1:$H$246,4,FALSE)</f>
        <v>0</v>
      </c>
      <c r="J223" s="667">
        <f>'הוצאות '!K354*0.75</f>
        <v>5000.25</v>
      </c>
      <c r="K223" s="948">
        <v>5000</v>
      </c>
      <c r="L223" s="964"/>
      <c r="N223" s="514">
        <f t="shared" si="82"/>
        <v>-0.25</v>
      </c>
      <c r="O223" s="968">
        <f t="shared" si="83"/>
        <v>-0.25</v>
      </c>
      <c r="P223" s="516">
        <v>0</v>
      </c>
      <c r="Q223" s="516">
        <v>3544</v>
      </c>
      <c r="R223" s="516">
        <v>4000</v>
      </c>
      <c r="S223" s="516">
        <f t="shared" si="80"/>
        <v>4000</v>
      </c>
    </row>
    <row r="224" spans="2:19" ht="15.6" customHeight="1" x14ac:dyDescent="0.25">
      <c r="B224" s="685">
        <v>346700.93</v>
      </c>
      <c r="C224" s="679" t="s">
        <v>1295</v>
      </c>
      <c r="D224" s="610">
        <f>'הוצאות '!E355*0.75</f>
        <v>5000.25</v>
      </c>
      <c r="E224" s="610">
        <v>4168</v>
      </c>
      <c r="F224" s="667">
        <f t="shared" si="79"/>
        <v>833.6</v>
      </c>
      <c r="G224" s="667">
        <f t="shared" si="62"/>
        <v>5001.6000000000004</v>
      </c>
      <c r="H224" s="610">
        <f>'הוצאות '!I355*0.75</f>
        <v>5000.25</v>
      </c>
      <c r="I224" s="667">
        <v>1925</v>
      </c>
      <c r="J224" s="610">
        <f>'הוצאות '!K355*0.75</f>
        <v>27945</v>
      </c>
      <c r="K224" s="948">
        <v>5000</v>
      </c>
      <c r="L224" s="964"/>
      <c r="N224" s="514">
        <f t="shared" si="82"/>
        <v>-0.25</v>
      </c>
      <c r="O224" s="968">
        <f t="shared" si="83"/>
        <v>-0.25</v>
      </c>
      <c r="P224" s="516">
        <v>1925</v>
      </c>
      <c r="Q224" s="516">
        <v>1925</v>
      </c>
      <c r="R224" s="516">
        <v>1600</v>
      </c>
      <c r="S224" s="516">
        <f t="shared" si="80"/>
        <v>1600</v>
      </c>
    </row>
    <row r="225" spans="2:19" ht="15.6" customHeight="1" x14ac:dyDescent="0.25">
      <c r="B225" s="685">
        <v>346300.93</v>
      </c>
      <c r="C225" s="679" t="s">
        <v>1988</v>
      </c>
      <c r="D225" s="610"/>
      <c r="E225" s="610"/>
      <c r="F225" s="667"/>
      <c r="G225" s="667"/>
      <c r="H225" s="610"/>
      <c r="I225" s="667">
        <v>6024</v>
      </c>
      <c r="J225" s="610"/>
      <c r="K225" s="960">
        <f>I225*2</f>
        <v>12048</v>
      </c>
      <c r="L225" s="964"/>
      <c r="N225" s="514">
        <f t="shared" si="82"/>
        <v>12048</v>
      </c>
      <c r="O225" s="968">
        <f t="shared" si="83"/>
        <v>12048</v>
      </c>
      <c r="P225" s="516">
        <v>8049</v>
      </c>
      <c r="Q225" s="516">
        <v>10074</v>
      </c>
      <c r="R225" s="516">
        <v>10074</v>
      </c>
      <c r="S225" s="516">
        <f t="shared" si="80"/>
        <v>10074</v>
      </c>
    </row>
    <row r="226" spans="2:19" ht="15.6" hidden="1" customHeight="1" x14ac:dyDescent="0.25">
      <c r="B226" s="685">
        <v>346000.42</v>
      </c>
      <c r="C226" s="679" t="s">
        <v>3221</v>
      </c>
      <c r="D226" s="610"/>
      <c r="E226" s="610"/>
      <c r="F226" s="667"/>
      <c r="G226" s="667"/>
      <c r="H226" s="610"/>
      <c r="I226" s="667"/>
      <c r="J226" s="610"/>
      <c r="K226" s="960"/>
      <c r="L226" s="964"/>
      <c r="N226" s="514"/>
      <c r="O226" s="968"/>
      <c r="P226" s="516"/>
      <c r="Q226" s="516"/>
      <c r="R226" s="516">
        <v>0</v>
      </c>
      <c r="S226" s="516">
        <v>0</v>
      </c>
    </row>
    <row r="227" spans="2:19" s="407" customFormat="1" ht="15.6" customHeight="1" x14ac:dyDescent="0.25">
      <c r="B227" s="668" t="s">
        <v>1296</v>
      </c>
      <c r="C227" s="669" t="s">
        <v>1297</v>
      </c>
      <c r="D227" s="670">
        <f>SUM(D216:D224)</f>
        <v>280933.5</v>
      </c>
      <c r="E227" s="670">
        <f t="shared" ref="E227:H227" si="84">SUM(E216:E224)</f>
        <v>317341</v>
      </c>
      <c r="F227" s="670">
        <f t="shared" si="84"/>
        <v>63468.2</v>
      </c>
      <c r="G227" s="670">
        <f t="shared" si="84"/>
        <v>380809.2</v>
      </c>
      <c r="H227" s="670">
        <f t="shared" si="84"/>
        <v>280933.5</v>
      </c>
      <c r="I227" s="670">
        <f>SUM(I216:I225)</f>
        <v>136191</v>
      </c>
      <c r="J227" s="670">
        <f t="shared" ref="J227:Q227" si="85">SUM(J216:J225)</f>
        <v>313125.75</v>
      </c>
      <c r="K227" s="949">
        <f t="shared" si="85"/>
        <v>302229</v>
      </c>
      <c r="L227" s="949">
        <f t="shared" si="85"/>
        <v>0</v>
      </c>
      <c r="M227" s="949">
        <f t="shared" si="85"/>
        <v>0</v>
      </c>
      <c r="N227" s="949">
        <f t="shared" si="85"/>
        <v>21295.5</v>
      </c>
      <c r="O227" s="1040">
        <f t="shared" si="85"/>
        <v>21295.5</v>
      </c>
      <c r="P227" s="1052">
        <f t="shared" si="85"/>
        <v>207301</v>
      </c>
      <c r="Q227" s="1052">
        <f t="shared" si="85"/>
        <v>291211.33333333337</v>
      </c>
      <c r="R227" s="1052">
        <f>SUM(R216:R226)</f>
        <v>335317</v>
      </c>
      <c r="S227" s="1052">
        <f>SUM(S216:S226)</f>
        <v>335317</v>
      </c>
    </row>
    <row r="228" spans="2:19" ht="15.6" customHeight="1" x14ac:dyDescent="0.25">
      <c r="B228" s="671"/>
      <c r="C228" s="672"/>
      <c r="D228" s="667"/>
      <c r="E228" s="667"/>
      <c r="F228" s="667"/>
      <c r="G228" s="667"/>
      <c r="H228" s="667"/>
      <c r="I228" s="667"/>
      <c r="J228" s="667"/>
      <c r="K228" s="948"/>
      <c r="L228" s="964"/>
      <c r="N228" s="514">
        <f t="shared" si="82"/>
        <v>0</v>
      </c>
      <c r="O228" s="968">
        <f t="shared" si="83"/>
        <v>0</v>
      </c>
      <c r="P228" s="516"/>
      <c r="Q228" s="516"/>
      <c r="R228" s="516"/>
      <c r="S228" s="516"/>
    </row>
    <row r="229" spans="2:19" ht="15.6" customHeight="1" x14ac:dyDescent="0.25">
      <c r="B229" s="665">
        <v>347100.93</v>
      </c>
      <c r="C229" s="666" t="s">
        <v>1298</v>
      </c>
      <c r="D229" s="667">
        <f>'הוצאות '!E359*0.75</f>
        <v>12171</v>
      </c>
      <c r="E229" s="667">
        <v>0</v>
      </c>
      <c r="F229" s="667">
        <f t="shared" ref="F229:F234" si="86">E229/10*2</f>
        <v>0</v>
      </c>
      <c r="G229" s="667">
        <f t="shared" si="62"/>
        <v>0</v>
      </c>
      <c r="H229" s="667">
        <f>'הוצאות '!I359*0.75</f>
        <v>12171</v>
      </c>
      <c r="I229" s="667">
        <f>-VLOOKUP(C229,'הכנסות לשלפה'!$C$1:$H$246,4,FALSE)</f>
        <v>0</v>
      </c>
      <c r="J229" s="667">
        <f>'הוצאות '!K359*0.75</f>
        <v>12171</v>
      </c>
      <c r="K229" s="948">
        <v>12171</v>
      </c>
      <c r="L229" s="964"/>
      <c r="N229" s="514">
        <f t="shared" si="82"/>
        <v>0</v>
      </c>
      <c r="O229" s="968">
        <f t="shared" si="83"/>
        <v>0</v>
      </c>
      <c r="P229" s="516">
        <v>0</v>
      </c>
      <c r="Q229" s="516">
        <v>5898</v>
      </c>
      <c r="R229" s="516">
        <v>11000</v>
      </c>
      <c r="S229" s="516">
        <f>R229</f>
        <v>11000</v>
      </c>
    </row>
    <row r="230" spans="2:19" ht="15.6" customHeight="1" x14ac:dyDescent="0.25">
      <c r="B230" s="665">
        <v>347100.93099999998</v>
      </c>
      <c r="C230" s="666" t="s">
        <v>863</v>
      </c>
      <c r="D230" s="667">
        <f>'הוצאות '!E360*0.75</f>
        <v>4068</v>
      </c>
      <c r="E230" s="667">
        <v>0</v>
      </c>
      <c r="F230" s="667">
        <f t="shared" si="86"/>
        <v>0</v>
      </c>
      <c r="G230" s="667">
        <f t="shared" si="62"/>
        <v>0</v>
      </c>
      <c r="H230" s="667">
        <f>'הוצאות '!I360*0.75</f>
        <v>4068</v>
      </c>
      <c r="I230" s="667">
        <f>-VLOOKUP(C230,'הכנסות לשלפה'!$C$1:$H$246,4,FALSE)</f>
        <v>0</v>
      </c>
      <c r="J230" s="667">
        <f>'הוצאות '!K360*0.75</f>
        <v>4068</v>
      </c>
      <c r="K230" s="948">
        <v>4068</v>
      </c>
      <c r="L230" s="964"/>
      <c r="N230" s="514">
        <f t="shared" si="82"/>
        <v>0</v>
      </c>
      <c r="O230" s="968">
        <f t="shared" si="83"/>
        <v>0</v>
      </c>
      <c r="P230" s="516">
        <v>0</v>
      </c>
      <c r="Q230" s="516">
        <f t="shared" ref="Q230" si="87">P230/9*12</f>
        <v>0</v>
      </c>
      <c r="R230" s="516">
        <v>12600</v>
      </c>
      <c r="S230" s="516">
        <f t="shared" ref="S230:S235" si="88">R230</f>
        <v>12600</v>
      </c>
    </row>
    <row r="231" spans="2:19" ht="15.6" customHeight="1" x14ac:dyDescent="0.25">
      <c r="B231" s="685">
        <v>347100.93199999997</v>
      </c>
      <c r="C231" s="679" t="s">
        <v>1299</v>
      </c>
      <c r="D231" s="610">
        <f>'הוצאות '!E362*0.75</f>
        <v>55890</v>
      </c>
      <c r="E231" s="610">
        <v>63241</v>
      </c>
      <c r="F231" s="667">
        <f t="shared" si="86"/>
        <v>12648.2</v>
      </c>
      <c r="G231" s="667">
        <f t="shared" ref="G231:G271" si="89">F231+E231</f>
        <v>75889.2</v>
      </c>
      <c r="H231" s="610">
        <f>'הוצאות '!I362*0.75</f>
        <v>55890</v>
      </c>
      <c r="I231" s="667">
        <v>16643</v>
      </c>
      <c r="J231" s="610">
        <f>'הוצאות '!K362*0.75</f>
        <v>55890</v>
      </c>
      <c r="K231" s="948">
        <v>55890</v>
      </c>
      <c r="L231" s="964"/>
      <c r="N231" s="514">
        <f t="shared" si="82"/>
        <v>0</v>
      </c>
      <c r="O231" s="968">
        <f t="shared" si="83"/>
        <v>0</v>
      </c>
      <c r="P231" s="516">
        <v>63137</v>
      </c>
      <c r="Q231" s="516">
        <v>87707</v>
      </c>
      <c r="R231" s="516">
        <v>114750</v>
      </c>
      <c r="S231" s="516">
        <f t="shared" si="88"/>
        <v>114750</v>
      </c>
    </row>
    <row r="232" spans="2:19" ht="15.6" customHeight="1" x14ac:dyDescent="0.25">
      <c r="B232" s="702">
        <v>347130.93</v>
      </c>
      <c r="C232" s="681" t="s">
        <v>1300</v>
      </c>
      <c r="D232" s="667">
        <f>'הוצאות '!E361*0.75</f>
        <v>917.25</v>
      </c>
      <c r="E232" s="667">
        <v>763</v>
      </c>
      <c r="F232" s="667">
        <f t="shared" si="86"/>
        <v>152.6</v>
      </c>
      <c r="G232" s="667">
        <f t="shared" si="89"/>
        <v>915.6</v>
      </c>
      <c r="H232" s="667">
        <f>'הוצאות '!I361*0.75</f>
        <v>917.25</v>
      </c>
      <c r="I232" s="667">
        <v>0</v>
      </c>
      <c r="J232" s="667">
        <f>'הוצאות '!K361*0.75</f>
        <v>917.25</v>
      </c>
      <c r="K232" s="948">
        <v>917</v>
      </c>
      <c r="L232" s="964"/>
      <c r="N232" s="514">
        <f t="shared" si="82"/>
        <v>-0.25</v>
      </c>
      <c r="O232" s="968">
        <f t="shared" si="83"/>
        <v>-0.25</v>
      </c>
      <c r="P232" s="516">
        <v>7313</v>
      </c>
      <c r="Q232" s="516">
        <v>8938</v>
      </c>
      <c r="R232" s="516">
        <v>0</v>
      </c>
      <c r="S232" s="516">
        <f t="shared" si="88"/>
        <v>0</v>
      </c>
    </row>
    <row r="233" spans="2:19" ht="15.6" customHeight="1" x14ac:dyDescent="0.25">
      <c r="B233" s="701">
        <v>347300.93</v>
      </c>
      <c r="C233" s="692" t="s">
        <v>1301</v>
      </c>
      <c r="D233" s="610">
        <f>'הוצאות '!E363*0.75</f>
        <v>9999.75</v>
      </c>
      <c r="E233" s="610">
        <v>8028</v>
      </c>
      <c r="F233" s="667">
        <f t="shared" si="86"/>
        <v>1605.6</v>
      </c>
      <c r="G233" s="667">
        <f t="shared" si="89"/>
        <v>9633.6</v>
      </c>
      <c r="H233" s="610">
        <f>'הוצאות '!I363*0.75</f>
        <v>9999.75</v>
      </c>
      <c r="I233" s="667">
        <v>4414</v>
      </c>
      <c r="J233" s="610">
        <f>'הוצאות '!K363*0.75</f>
        <v>9999.75</v>
      </c>
      <c r="K233" s="948">
        <v>10000</v>
      </c>
      <c r="L233" s="964"/>
      <c r="N233" s="514">
        <f t="shared" si="82"/>
        <v>0.25</v>
      </c>
      <c r="O233" s="968">
        <f t="shared" si="83"/>
        <v>0.25</v>
      </c>
      <c r="P233" s="516">
        <v>6828</v>
      </c>
      <c r="Q233" s="516">
        <v>8574</v>
      </c>
      <c r="R233" s="516">
        <v>8000</v>
      </c>
      <c r="S233" s="516">
        <f t="shared" si="88"/>
        <v>8000</v>
      </c>
    </row>
    <row r="234" spans="2:19" ht="15.6" customHeight="1" x14ac:dyDescent="0.25">
      <c r="B234" s="702">
        <v>347412.93</v>
      </c>
      <c r="C234" s="679" t="s">
        <v>867</v>
      </c>
      <c r="D234" s="667">
        <f>'הוצאות '!E364*0.75</f>
        <v>28218</v>
      </c>
      <c r="E234" s="667">
        <v>23515</v>
      </c>
      <c r="F234" s="667">
        <f t="shared" si="86"/>
        <v>4703</v>
      </c>
      <c r="G234" s="667">
        <f t="shared" si="89"/>
        <v>28218</v>
      </c>
      <c r="H234" s="667">
        <f>'הוצאות '!I364*0.75</f>
        <v>28218</v>
      </c>
      <c r="I234" s="667">
        <f>-VLOOKUP(C234,'הכנסות לשלפה'!$C$1:$H$246,4,FALSE)</f>
        <v>8947</v>
      </c>
      <c r="J234" s="667">
        <f>'הוצאות '!K364*0.75</f>
        <v>28218</v>
      </c>
      <c r="K234" s="948">
        <v>28218</v>
      </c>
      <c r="L234" s="964"/>
      <c r="N234" s="514">
        <f t="shared" si="82"/>
        <v>0</v>
      </c>
      <c r="O234" s="968">
        <f t="shared" si="83"/>
        <v>0</v>
      </c>
      <c r="P234" s="516">
        <v>7547</v>
      </c>
      <c r="Q234" s="516">
        <v>25474</v>
      </c>
      <c r="R234" s="516">
        <v>0</v>
      </c>
      <c r="S234" s="516">
        <f t="shared" si="88"/>
        <v>0</v>
      </c>
    </row>
    <row r="235" spans="2:19" ht="15.6" customHeight="1" x14ac:dyDescent="0.25">
      <c r="B235" s="702">
        <v>347300.93099999998</v>
      </c>
      <c r="C235" s="679" t="s">
        <v>3267</v>
      </c>
      <c r="D235" s="667"/>
      <c r="E235" s="667"/>
      <c r="F235" s="667"/>
      <c r="G235" s="667"/>
      <c r="H235" s="667"/>
      <c r="I235" s="667"/>
      <c r="J235" s="667"/>
      <c r="K235" s="948"/>
      <c r="L235" s="964"/>
      <c r="N235" s="514"/>
      <c r="O235" s="968"/>
      <c r="P235" s="516"/>
      <c r="Q235" s="516"/>
      <c r="R235" s="516">
        <v>114184</v>
      </c>
      <c r="S235" s="516">
        <f t="shared" si="88"/>
        <v>114184</v>
      </c>
    </row>
    <row r="236" spans="2:19" ht="15.6" hidden="1" customHeight="1" x14ac:dyDescent="0.25">
      <c r="B236" s="702">
        <v>347000.42</v>
      </c>
      <c r="C236" s="679" t="s">
        <v>3221</v>
      </c>
      <c r="D236" s="667"/>
      <c r="E236" s="667"/>
      <c r="F236" s="667"/>
      <c r="G236" s="667"/>
      <c r="H236" s="667"/>
      <c r="I236" s="667"/>
      <c r="J236" s="667"/>
      <c r="K236" s="948"/>
      <c r="L236" s="964"/>
      <c r="N236" s="514"/>
      <c r="O236" s="968"/>
      <c r="P236" s="516"/>
      <c r="Q236" s="516"/>
      <c r="R236" s="516">
        <v>0</v>
      </c>
      <c r="S236" s="516"/>
    </row>
    <row r="237" spans="2:19" s="407" customFormat="1" ht="15.6" customHeight="1" x14ac:dyDescent="0.25">
      <c r="B237" s="693" t="s">
        <v>1302</v>
      </c>
      <c r="C237" s="694" t="s">
        <v>1303</v>
      </c>
      <c r="D237" s="695">
        <f>SUM(D229:D234)</f>
        <v>111264</v>
      </c>
      <c r="E237" s="695">
        <f t="shared" ref="E237:P237" si="90">SUM(E229:E234)</f>
        <v>95547</v>
      </c>
      <c r="F237" s="695">
        <f t="shared" si="90"/>
        <v>19109.400000000001</v>
      </c>
      <c r="G237" s="695">
        <f t="shared" si="90"/>
        <v>114656.40000000001</v>
      </c>
      <c r="H237" s="695">
        <f t="shared" si="90"/>
        <v>111264</v>
      </c>
      <c r="I237" s="695">
        <f t="shared" si="90"/>
        <v>30004</v>
      </c>
      <c r="J237" s="695">
        <f t="shared" si="90"/>
        <v>111264</v>
      </c>
      <c r="K237" s="949">
        <f t="shared" si="90"/>
        <v>111264</v>
      </c>
      <c r="L237" s="949">
        <f t="shared" si="90"/>
        <v>0</v>
      </c>
      <c r="M237" s="949">
        <f t="shared" si="90"/>
        <v>0</v>
      </c>
      <c r="N237" s="949">
        <f t="shared" si="90"/>
        <v>0</v>
      </c>
      <c r="O237" s="1040">
        <f t="shared" si="90"/>
        <v>0</v>
      </c>
      <c r="P237" s="1052">
        <f t="shared" si="90"/>
        <v>84825</v>
      </c>
      <c r="Q237" s="1052">
        <f>SUM(Q229:Q236)</f>
        <v>136591</v>
      </c>
      <c r="R237" s="1052">
        <f>SUM(R229:R236)</f>
        <v>260534</v>
      </c>
      <c r="S237" s="1052">
        <f>SUM(S229:S235)</f>
        <v>260534</v>
      </c>
    </row>
    <row r="238" spans="2:19" ht="15.6" customHeight="1" x14ac:dyDescent="0.25">
      <c r="B238" s="696"/>
      <c r="C238" s="697"/>
      <c r="D238" s="667"/>
      <c r="E238" s="667"/>
      <c r="F238" s="667"/>
      <c r="G238" s="667"/>
      <c r="H238" s="667"/>
      <c r="I238" s="667"/>
      <c r="J238" s="667"/>
      <c r="K238" s="948"/>
      <c r="L238" s="964"/>
      <c r="N238" s="514">
        <f t="shared" si="82"/>
        <v>0</v>
      </c>
      <c r="O238" s="968">
        <f t="shared" si="83"/>
        <v>0</v>
      </c>
      <c r="P238" s="516"/>
      <c r="Q238" s="516"/>
      <c r="R238" s="516"/>
      <c r="S238" s="516"/>
    </row>
    <row r="239" spans="2:19" ht="15.6" customHeight="1" x14ac:dyDescent="0.25">
      <c r="B239" s="702">
        <v>348200.93</v>
      </c>
      <c r="C239" s="681" t="s">
        <v>1304</v>
      </c>
      <c r="D239" s="667">
        <v>180000</v>
      </c>
      <c r="E239" s="667">
        <v>251657</v>
      </c>
      <c r="F239" s="667">
        <f t="shared" ref="F239" si="91">E239/10*2</f>
        <v>50331.4</v>
      </c>
      <c r="G239" s="667">
        <f t="shared" si="89"/>
        <v>301988.40000000002</v>
      </c>
      <c r="H239" s="667">
        <f>180000+166670</f>
        <v>346670</v>
      </c>
      <c r="I239" s="667">
        <v>119896</v>
      </c>
      <c r="J239" s="667">
        <f>180000+166670</f>
        <v>346670</v>
      </c>
      <c r="K239" s="948">
        <v>346670</v>
      </c>
      <c r="L239" s="964"/>
      <c r="N239" s="514">
        <f t="shared" si="82"/>
        <v>0</v>
      </c>
      <c r="O239" s="968">
        <f t="shared" si="83"/>
        <v>0</v>
      </c>
      <c r="P239" s="516">
        <v>191887</v>
      </c>
      <c r="Q239" s="516">
        <v>263834</v>
      </c>
      <c r="R239" s="516">
        <v>159600</v>
      </c>
      <c r="S239" s="516">
        <v>159600</v>
      </c>
    </row>
    <row r="240" spans="2:19" s="407" customFormat="1" ht="15.6" customHeight="1" x14ac:dyDescent="0.25">
      <c r="B240" s="693">
        <v>348</v>
      </c>
      <c r="C240" s="694" t="s">
        <v>873</v>
      </c>
      <c r="D240" s="695">
        <f>SUM(D239)</f>
        <v>180000</v>
      </c>
      <c r="E240" s="695">
        <f t="shared" ref="E240:S240" si="92">SUM(E239)</f>
        <v>251657</v>
      </c>
      <c r="F240" s="695">
        <f t="shared" si="92"/>
        <v>50331.4</v>
      </c>
      <c r="G240" s="695">
        <f t="shared" si="92"/>
        <v>301988.40000000002</v>
      </c>
      <c r="H240" s="695">
        <f t="shared" si="92"/>
        <v>346670</v>
      </c>
      <c r="I240" s="695">
        <f t="shared" si="92"/>
        <v>119896</v>
      </c>
      <c r="J240" s="695">
        <f t="shared" si="92"/>
        <v>346670</v>
      </c>
      <c r="K240" s="949">
        <f t="shared" si="92"/>
        <v>346670</v>
      </c>
      <c r="L240" s="949">
        <f t="shared" si="92"/>
        <v>0</v>
      </c>
      <c r="M240" s="949">
        <f t="shared" si="92"/>
        <v>0</v>
      </c>
      <c r="N240" s="949">
        <f t="shared" si="92"/>
        <v>0</v>
      </c>
      <c r="O240" s="1040">
        <f t="shared" si="92"/>
        <v>0</v>
      </c>
      <c r="P240" s="1052">
        <f t="shared" si="92"/>
        <v>191887</v>
      </c>
      <c r="Q240" s="1052">
        <f t="shared" si="92"/>
        <v>263834</v>
      </c>
      <c r="R240" s="1052">
        <f t="shared" si="92"/>
        <v>159600</v>
      </c>
      <c r="S240" s="1052">
        <f t="shared" si="92"/>
        <v>159600</v>
      </c>
    </row>
    <row r="241" spans="2:20" ht="15.6" customHeight="1" x14ac:dyDescent="0.25">
      <c r="B241" s="696"/>
      <c r="C241" s="697"/>
      <c r="D241" s="695"/>
      <c r="E241" s="695"/>
      <c r="F241" s="667"/>
      <c r="G241" s="667"/>
      <c r="H241" s="695"/>
      <c r="I241" s="667"/>
      <c r="J241" s="695"/>
      <c r="K241" s="948"/>
      <c r="L241" s="964"/>
      <c r="N241" s="514">
        <f t="shared" si="82"/>
        <v>0</v>
      </c>
      <c r="O241" s="968">
        <f t="shared" si="83"/>
        <v>0</v>
      </c>
      <c r="P241" s="516"/>
      <c r="Q241" s="516"/>
      <c r="R241" s="516"/>
      <c r="S241" s="516"/>
    </row>
    <row r="242" spans="2:20" s="379" customFormat="1" ht="15.6" customHeight="1" x14ac:dyDescent="0.2">
      <c r="B242" s="482" t="s">
        <v>1305</v>
      </c>
      <c r="C242" s="480" t="s">
        <v>134</v>
      </c>
      <c r="D242" s="481">
        <f t="shared" ref="D242:S242" si="93">D170+D176+D188+D200+D214+D227+D237+D240</f>
        <v>4975125.5</v>
      </c>
      <c r="E242" s="481">
        <f t="shared" si="93"/>
        <v>4158560</v>
      </c>
      <c r="F242" s="481">
        <f t="shared" si="93"/>
        <v>831712</v>
      </c>
      <c r="G242" s="481">
        <f t="shared" si="93"/>
        <v>4990272.0000000009</v>
      </c>
      <c r="H242" s="481">
        <f>H240+H237+H227+H214+H200+H188+H176+H170</f>
        <v>5655278</v>
      </c>
      <c r="I242" s="481" t="e">
        <f t="shared" si="93"/>
        <v>#N/A</v>
      </c>
      <c r="J242" s="481">
        <f t="shared" si="93"/>
        <v>6341920.5</v>
      </c>
      <c r="K242" s="950">
        <f t="shared" si="93"/>
        <v>6333007</v>
      </c>
      <c r="L242" s="950">
        <f t="shared" si="93"/>
        <v>0</v>
      </c>
      <c r="M242" s="950">
        <f t="shared" si="93"/>
        <v>0</v>
      </c>
      <c r="N242" s="950">
        <f t="shared" si="93"/>
        <v>677729</v>
      </c>
      <c r="O242" s="1041">
        <f t="shared" si="93"/>
        <v>677729</v>
      </c>
      <c r="P242" s="1053">
        <f t="shared" si="93"/>
        <v>3903966</v>
      </c>
      <c r="Q242" s="1053">
        <f t="shared" si="93"/>
        <v>5832700.333333333</v>
      </c>
      <c r="R242" s="1053">
        <f t="shared" si="93"/>
        <v>5609120.75</v>
      </c>
      <c r="S242" s="1053">
        <f t="shared" si="93"/>
        <v>5609120.75</v>
      </c>
    </row>
    <row r="243" spans="2:20" ht="15.6" customHeight="1" x14ac:dyDescent="0.25">
      <c r="B243" s="458"/>
      <c r="C243" s="681"/>
      <c r="D243" s="667"/>
      <c r="E243" s="667"/>
      <c r="F243" s="667"/>
      <c r="G243" s="667"/>
      <c r="H243" s="667"/>
      <c r="I243" s="667"/>
      <c r="J243" s="667"/>
      <c r="K243" s="948">
        <f t="shared" ref="K243:K271" si="94">I243*2</f>
        <v>0</v>
      </c>
      <c r="L243" s="964"/>
      <c r="N243" s="514">
        <f t="shared" si="82"/>
        <v>0</v>
      </c>
      <c r="O243" s="968">
        <f t="shared" si="83"/>
        <v>0</v>
      </c>
      <c r="P243" s="516"/>
      <c r="Q243" s="516"/>
      <c r="R243" s="516"/>
      <c r="S243" s="516"/>
    </row>
    <row r="244" spans="2:20" ht="15.6" customHeight="1" x14ac:dyDescent="0.25">
      <c r="B244" s="665">
        <v>378000.49</v>
      </c>
      <c r="C244" s="681" t="s">
        <v>1306</v>
      </c>
      <c r="D244" s="667">
        <v>0</v>
      </c>
      <c r="E244" s="667">
        <v>0</v>
      </c>
      <c r="F244" s="667">
        <f t="shared" ref="F244:F273" si="95">E244/9*3</f>
        <v>0</v>
      </c>
      <c r="G244" s="667">
        <f t="shared" si="89"/>
        <v>0</v>
      </c>
      <c r="H244" s="667">
        <v>120000</v>
      </c>
      <c r="I244" s="667">
        <v>0</v>
      </c>
      <c r="J244" s="667">
        <v>120000</v>
      </c>
      <c r="K244" s="948">
        <v>120000</v>
      </c>
      <c r="L244" s="964"/>
      <c r="M244" s="493">
        <v>120000</v>
      </c>
      <c r="N244" s="514">
        <f t="shared" si="82"/>
        <v>0</v>
      </c>
      <c r="O244" s="968">
        <f t="shared" si="83"/>
        <v>0</v>
      </c>
      <c r="P244" s="516">
        <v>0</v>
      </c>
      <c r="Q244" s="516">
        <f>P244/9*12</f>
        <v>0</v>
      </c>
      <c r="R244" s="1050">
        <v>120000</v>
      </c>
      <c r="S244" s="1050">
        <v>120000</v>
      </c>
    </row>
    <row r="245" spans="2:20" ht="15.6" customHeight="1" x14ac:dyDescent="0.25">
      <c r="B245" s="665">
        <v>379000.99</v>
      </c>
      <c r="C245" s="666" t="s">
        <v>1307</v>
      </c>
      <c r="D245" s="667">
        <v>15000</v>
      </c>
      <c r="E245" s="667">
        <v>14829</v>
      </c>
      <c r="F245" s="667">
        <f t="shared" si="95"/>
        <v>4943</v>
      </c>
      <c r="G245" s="667">
        <f t="shared" si="89"/>
        <v>19772</v>
      </c>
      <c r="H245" s="667">
        <v>0</v>
      </c>
      <c r="I245" s="667">
        <v>0</v>
      </c>
      <c r="J245" s="667">
        <v>0</v>
      </c>
      <c r="K245" s="948">
        <f t="shared" si="94"/>
        <v>0</v>
      </c>
      <c r="L245" s="964"/>
      <c r="N245" s="514">
        <f t="shared" si="82"/>
        <v>0</v>
      </c>
      <c r="O245" s="968">
        <f t="shared" si="83"/>
        <v>0</v>
      </c>
      <c r="P245" s="516">
        <v>20007</v>
      </c>
      <c r="Q245" s="516">
        <v>20007</v>
      </c>
      <c r="R245" s="516">
        <v>0</v>
      </c>
      <c r="S245" s="516">
        <v>0</v>
      </c>
    </row>
    <row r="246" spans="2:20" s="378" customFormat="1" ht="15.6" customHeight="1" x14ac:dyDescent="0.2">
      <c r="B246" s="482" t="s">
        <v>1308</v>
      </c>
      <c r="C246" s="480" t="s">
        <v>991</v>
      </c>
      <c r="D246" s="481">
        <f>SUM(D244:D245)</f>
        <v>15000</v>
      </c>
      <c r="E246" s="481">
        <f t="shared" ref="E246:S246" si="96">SUM(E244:E245)</f>
        <v>14829</v>
      </c>
      <c r="F246" s="481">
        <f t="shared" si="96"/>
        <v>4943</v>
      </c>
      <c r="G246" s="481">
        <f t="shared" si="96"/>
        <v>19772</v>
      </c>
      <c r="H246" s="481">
        <f t="shared" si="96"/>
        <v>120000</v>
      </c>
      <c r="I246" s="481">
        <f t="shared" si="96"/>
        <v>0</v>
      </c>
      <c r="J246" s="481">
        <f t="shared" si="96"/>
        <v>120000</v>
      </c>
      <c r="K246" s="481">
        <f t="shared" si="96"/>
        <v>120000</v>
      </c>
      <c r="L246" s="481">
        <f t="shared" si="96"/>
        <v>0</v>
      </c>
      <c r="M246" s="481">
        <f t="shared" si="96"/>
        <v>120000</v>
      </c>
      <c r="N246" s="481">
        <f t="shared" si="96"/>
        <v>0</v>
      </c>
      <c r="O246" s="1047">
        <f t="shared" si="96"/>
        <v>0</v>
      </c>
      <c r="P246" s="481">
        <f t="shared" si="96"/>
        <v>20007</v>
      </c>
      <c r="Q246" s="481">
        <f t="shared" si="96"/>
        <v>20007</v>
      </c>
      <c r="R246" s="481">
        <f t="shared" si="96"/>
        <v>120000</v>
      </c>
      <c r="S246" s="481">
        <f t="shared" si="96"/>
        <v>120000</v>
      </c>
    </row>
    <row r="247" spans="2:20" ht="15.6" customHeight="1" x14ac:dyDescent="0.25">
      <c r="B247" s="458"/>
      <c r="C247" s="681"/>
      <c r="D247" s="667"/>
      <c r="E247" s="667"/>
      <c r="F247" s="667">
        <f t="shared" si="95"/>
        <v>0</v>
      </c>
      <c r="G247" s="667"/>
      <c r="H247" s="667"/>
      <c r="I247" s="667"/>
      <c r="J247" s="667"/>
      <c r="K247" s="948"/>
      <c r="L247" s="964"/>
      <c r="N247" s="514">
        <f t="shared" si="82"/>
        <v>0</v>
      </c>
      <c r="O247" s="968">
        <f t="shared" si="83"/>
        <v>0</v>
      </c>
      <c r="P247" s="516"/>
      <c r="Q247" s="516"/>
      <c r="R247" s="516"/>
      <c r="S247" s="516"/>
    </row>
    <row r="248" spans="2:20" s="412" customFormat="1" ht="15.6" customHeight="1" x14ac:dyDescent="0.2">
      <c r="B248" s="703" t="s">
        <v>415</v>
      </c>
      <c r="C248" s="704" t="s">
        <v>883</v>
      </c>
      <c r="D248" s="705">
        <f t="shared" ref="D248:S248" si="97">SUM(D246+D242+D164+D151)</f>
        <v>21507129.899999999</v>
      </c>
      <c r="E248" s="705">
        <f t="shared" si="97"/>
        <v>19005544</v>
      </c>
      <c r="F248" s="705">
        <f t="shared" si="97"/>
        <v>2262973.5757575757</v>
      </c>
      <c r="G248" s="705">
        <f t="shared" si="97"/>
        <v>21268517.575757578</v>
      </c>
      <c r="H248" s="705">
        <f t="shared" si="97"/>
        <v>22965519.862506665</v>
      </c>
      <c r="I248" s="705" t="e">
        <f t="shared" si="97"/>
        <v>#N/A</v>
      </c>
      <c r="J248" s="705">
        <f t="shared" si="97"/>
        <v>23896186.199999999</v>
      </c>
      <c r="K248" s="952">
        <f t="shared" si="97"/>
        <v>24781407</v>
      </c>
      <c r="L248" s="952">
        <f t="shared" si="97"/>
        <v>0</v>
      </c>
      <c r="M248" s="952" t="e">
        <f t="shared" si="97"/>
        <v>#VALUE!</v>
      </c>
      <c r="N248" s="952">
        <f t="shared" si="97"/>
        <v>1692842.1374933333</v>
      </c>
      <c r="O248" s="1043">
        <f t="shared" si="97"/>
        <v>1692842.1374933333</v>
      </c>
      <c r="P248" s="1055">
        <f t="shared" si="97"/>
        <v>16551024</v>
      </c>
      <c r="Q248" s="1055">
        <f t="shared" si="97"/>
        <v>24671023.999999996</v>
      </c>
      <c r="R248" s="1055">
        <f t="shared" si="97"/>
        <v>25461629.75</v>
      </c>
      <c r="S248" s="1055">
        <f t="shared" si="97"/>
        <v>23965229.75</v>
      </c>
    </row>
    <row r="249" spans="2:20" ht="15.6" customHeight="1" x14ac:dyDescent="0.25">
      <c r="B249" s="458"/>
      <c r="C249" s="681"/>
      <c r="D249" s="667"/>
      <c r="E249" s="667"/>
      <c r="F249" s="667">
        <f t="shared" si="95"/>
        <v>0</v>
      </c>
      <c r="G249" s="667"/>
      <c r="H249" s="667"/>
      <c r="I249" s="667"/>
      <c r="J249" s="667"/>
      <c r="K249" s="948"/>
      <c r="L249" s="964"/>
      <c r="N249" s="514">
        <f t="shared" si="82"/>
        <v>0</v>
      </c>
      <c r="O249" s="968">
        <f t="shared" si="83"/>
        <v>0</v>
      </c>
      <c r="P249" s="516"/>
      <c r="Q249" s="516"/>
      <c r="R249" s="516"/>
      <c r="S249" s="516"/>
    </row>
    <row r="250" spans="2:20" ht="15.6" customHeight="1" x14ac:dyDescent="0.25">
      <c r="B250" s="665">
        <v>413000.42</v>
      </c>
      <c r="C250" s="681" t="s">
        <v>3214</v>
      </c>
      <c r="D250" s="667"/>
      <c r="E250" s="667"/>
      <c r="F250" s="667"/>
      <c r="G250" s="667"/>
      <c r="H250" s="667"/>
      <c r="I250" s="667"/>
      <c r="J250" s="667"/>
      <c r="K250" s="948"/>
      <c r="L250" s="964"/>
      <c r="N250" s="514"/>
      <c r="O250" s="968"/>
      <c r="P250" s="516"/>
      <c r="Q250" s="516"/>
      <c r="R250" s="511">
        <v>20000</v>
      </c>
      <c r="S250" s="516"/>
    </row>
    <row r="251" spans="2:20" ht="15.6" customHeight="1" x14ac:dyDescent="0.25">
      <c r="B251" s="665">
        <v>413100.21</v>
      </c>
      <c r="C251" s="666" t="s">
        <v>1309</v>
      </c>
      <c r="D251" s="667">
        <v>3417000</v>
      </c>
      <c r="E251" s="667">
        <v>2412531</v>
      </c>
      <c r="F251" s="667">
        <f>G251-E251</f>
        <v>1004469</v>
      </c>
      <c r="G251" s="667">
        <f>D251</f>
        <v>3417000</v>
      </c>
      <c r="H251" s="667">
        <v>1300000</v>
      </c>
      <c r="I251" s="667">
        <v>1450307</v>
      </c>
      <c r="J251" s="667">
        <v>0</v>
      </c>
      <c r="K251" s="948">
        <v>3417000</v>
      </c>
      <c r="L251" s="964"/>
      <c r="M251" s="493">
        <v>3417000</v>
      </c>
      <c r="N251" s="514">
        <f>K251-H251</f>
        <v>2117000</v>
      </c>
      <c r="O251" s="968">
        <f t="shared" si="83"/>
        <v>2117000</v>
      </c>
      <c r="P251" s="516">
        <v>2092957</v>
      </c>
      <c r="Q251" s="516">
        <v>3690000</v>
      </c>
      <c r="R251" s="516">
        <v>3690000</v>
      </c>
      <c r="S251" s="516">
        <v>0</v>
      </c>
    </row>
    <row r="252" spans="2:20" ht="15.6" customHeight="1" x14ac:dyDescent="0.25">
      <c r="B252" s="665">
        <v>413101.21</v>
      </c>
      <c r="C252" s="666" t="s">
        <v>1310</v>
      </c>
      <c r="D252" s="667">
        <v>3000</v>
      </c>
      <c r="E252" s="667">
        <v>3850</v>
      </c>
      <c r="F252" s="667">
        <f t="shared" si="95"/>
        <v>1283.3333333333333</v>
      </c>
      <c r="G252" s="667">
        <f>E252+F252</f>
        <v>5133.333333333333</v>
      </c>
      <c r="H252" s="667">
        <v>0</v>
      </c>
      <c r="I252" s="667">
        <v>1653</v>
      </c>
      <c r="J252" s="667">
        <v>0</v>
      </c>
      <c r="K252" s="948">
        <v>2000</v>
      </c>
      <c r="L252" s="964"/>
      <c r="M252" s="493">
        <v>2000</v>
      </c>
      <c r="N252" s="514">
        <f>K252-H252</f>
        <v>2000</v>
      </c>
      <c r="O252" s="968">
        <f t="shared" si="83"/>
        <v>2000</v>
      </c>
      <c r="P252" s="516">
        <v>1867</v>
      </c>
      <c r="Q252" s="516">
        <v>4348</v>
      </c>
      <c r="R252" s="516">
        <v>4000</v>
      </c>
      <c r="S252" s="516">
        <v>0</v>
      </c>
    </row>
    <row r="253" spans="2:20" ht="15.6" customHeight="1" x14ac:dyDescent="0.25">
      <c r="B253" s="665">
        <v>413200.21</v>
      </c>
      <c r="C253" s="666" t="s">
        <v>1311</v>
      </c>
      <c r="D253" s="667">
        <v>1772000</v>
      </c>
      <c r="E253" s="667">
        <v>1354664</v>
      </c>
      <c r="F253" s="667">
        <f>G253-E253</f>
        <v>417336</v>
      </c>
      <c r="G253" s="667">
        <f t="shared" ref="G253:G255" si="98">D253</f>
        <v>1772000</v>
      </c>
      <c r="H253" s="667">
        <v>800000</v>
      </c>
      <c r="I253" s="667">
        <f>-VLOOKUP(C253,'הכנסות לשלפה'!$C$1:$H$246,4,FALSE)</f>
        <v>677801.73</v>
      </c>
      <c r="J253" s="667">
        <v>600000</v>
      </c>
      <c r="K253" s="948">
        <v>1772000</v>
      </c>
      <c r="L253" s="964"/>
      <c r="M253" s="493">
        <v>1772000</v>
      </c>
      <c r="N253" s="514">
        <f>K253-H253</f>
        <v>972000</v>
      </c>
      <c r="O253" s="968">
        <f t="shared" si="83"/>
        <v>972000</v>
      </c>
      <c r="P253" s="516">
        <v>1259181</v>
      </c>
      <c r="Q253" s="516">
        <v>1532748</v>
      </c>
      <c r="R253" s="1050">
        <v>1532750</v>
      </c>
      <c r="S253" s="1050">
        <f>1000000+949000</f>
        <v>1949000</v>
      </c>
    </row>
    <row r="254" spans="2:20" ht="15.6" customHeight="1" x14ac:dyDescent="0.25">
      <c r="B254" s="665">
        <v>413300.81</v>
      </c>
      <c r="C254" s="666" t="s">
        <v>1312</v>
      </c>
      <c r="D254" s="667">
        <f>334000/12*9</f>
        <v>250500</v>
      </c>
      <c r="E254" s="667">
        <v>316048</v>
      </c>
      <c r="F254" s="667">
        <f t="shared" si="95"/>
        <v>105349.33333333334</v>
      </c>
      <c r="G254" s="667">
        <f>E254+F254</f>
        <v>421397.33333333337</v>
      </c>
      <c r="H254" s="667">
        <v>0</v>
      </c>
      <c r="I254" s="667">
        <v>345648</v>
      </c>
      <c r="J254" s="667">
        <v>0</v>
      </c>
      <c r="K254" s="948">
        <v>422000</v>
      </c>
      <c r="L254" s="964"/>
      <c r="M254" s="493">
        <v>422000</v>
      </c>
      <c r="N254" s="514">
        <f>K254-H254</f>
        <v>422000</v>
      </c>
      <c r="O254" s="968">
        <f t="shared" si="83"/>
        <v>422000</v>
      </c>
      <c r="P254" s="516">
        <v>138220</v>
      </c>
      <c r="Q254" s="516">
        <v>524861</v>
      </c>
      <c r="R254" s="516">
        <v>525000</v>
      </c>
      <c r="S254" s="516">
        <v>0</v>
      </c>
    </row>
    <row r="255" spans="2:20" ht="15.6" customHeight="1" x14ac:dyDescent="0.25">
      <c r="B255" s="665">
        <v>413400.81</v>
      </c>
      <c r="C255" s="666" t="s">
        <v>1313</v>
      </c>
      <c r="D255" s="667">
        <v>5000</v>
      </c>
      <c r="E255" s="667">
        <v>2</v>
      </c>
      <c r="F255" s="667">
        <f>G255-E255</f>
        <v>4998</v>
      </c>
      <c r="G255" s="667">
        <f t="shared" si="98"/>
        <v>5000</v>
      </c>
      <c r="H255" s="667">
        <v>0</v>
      </c>
      <c r="I255" s="667">
        <v>33175</v>
      </c>
      <c r="J255" s="667">
        <v>0</v>
      </c>
      <c r="K255" s="948">
        <v>35000</v>
      </c>
      <c r="L255" s="964"/>
      <c r="M255" s="493">
        <v>35000</v>
      </c>
      <c r="N255" s="514">
        <f>K255-H255</f>
        <v>35000</v>
      </c>
      <c r="O255" s="968">
        <f t="shared" si="83"/>
        <v>35000</v>
      </c>
      <c r="P255" s="516">
        <v>33175</v>
      </c>
      <c r="Q255" s="516">
        <v>56409</v>
      </c>
      <c r="R255" s="516">
        <v>57000</v>
      </c>
      <c r="S255" s="516">
        <v>0</v>
      </c>
    </row>
    <row r="256" spans="2:20" s="378" customFormat="1" ht="15.6" customHeight="1" x14ac:dyDescent="0.2">
      <c r="B256" s="477"/>
      <c r="C256" s="478" t="s">
        <v>894</v>
      </c>
      <c r="D256" s="479">
        <f>SUM(D251:D255)</f>
        <v>5447500</v>
      </c>
      <c r="E256" s="479">
        <f t="shared" ref="E256:Q256" si="99">SUM(E251:E255)</f>
        <v>4087095</v>
      </c>
      <c r="F256" s="479">
        <f>SUM(F251:F255)</f>
        <v>1533435.6666666667</v>
      </c>
      <c r="G256" s="479">
        <f t="shared" si="99"/>
        <v>5620530.666666667</v>
      </c>
      <c r="H256" s="479">
        <f t="shared" si="99"/>
        <v>2100000</v>
      </c>
      <c r="I256" s="479">
        <f t="shared" si="99"/>
        <v>2508584.73</v>
      </c>
      <c r="J256" s="479">
        <f t="shared" si="99"/>
        <v>600000</v>
      </c>
      <c r="K256" s="950">
        <f t="shared" si="99"/>
        <v>5648000</v>
      </c>
      <c r="L256" s="950">
        <f t="shared" si="99"/>
        <v>0</v>
      </c>
      <c r="M256" s="950">
        <f t="shared" si="99"/>
        <v>5648000</v>
      </c>
      <c r="N256" s="950">
        <f t="shared" si="99"/>
        <v>3548000</v>
      </c>
      <c r="O256" s="1041">
        <f t="shared" si="99"/>
        <v>3548000</v>
      </c>
      <c r="P256" s="1053">
        <f t="shared" si="99"/>
        <v>3525400</v>
      </c>
      <c r="Q256" s="1053">
        <f t="shared" si="99"/>
        <v>5808366</v>
      </c>
      <c r="R256" s="1053">
        <f>SUM(R250:R255)</f>
        <v>5828750</v>
      </c>
      <c r="S256" s="1053">
        <f>SUM(S250:S255)</f>
        <v>1949000</v>
      </c>
      <c r="T256" s="1149"/>
    </row>
    <row r="257" spans="2:21" ht="15.6" customHeight="1" x14ac:dyDescent="0.25">
      <c r="B257" s="458"/>
      <c r="C257" s="681"/>
      <c r="D257" s="667"/>
      <c r="E257" s="667"/>
      <c r="F257" s="667">
        <f t="shared" si="95"/>
        <v>0</v>
      </c>
      <c r="G257" s="667"/>
      <c r="H257" s="667"/>
      <c r="I257" s="667"/>
      <c r="J257" s="667"/>
      <c r="K257" s="948"/>
      <c r="L257" s="964"/>
      <c r="N257" s="514">
        <f t="shared" si="82"/>
        <v>0</v>
      </c>
      <c r="O257" s="968">
        <f t="shared" si="83"/>
        <v>0</v>
      </c>
      <c r="P257" s="516"/>
      <c r="Q257" s="516"/>
      <c r="R257" s="516"/>
      <c r="S257" s="516"/>
    </row>
    <row r="258" spans="2:21" ht="15.6" customHeight="1" x14ac:dyDescent="0.25">
      <c r="B258" s="702">
        <v>472000.21</v>
      </c>
      <c r="C258" s="681" t="s">
        <v>1314</v>
      </c>
      <c r="D258" s="667">
        <v>106000</v>
      </c>
      <c r="E258" s="667">
        <v>100809</v>
      </c>
      <c r="F258" s="667">
        <f t="shared" si="95"/>
        <v>33603</v>
      </c>
      <c r="G258" s="667">
        <f t="shared" si="89"/>
        <v>134412</v>
      </c>
      <c r="H258" s="667">
        <v>0</v>
      </c>
      <c r="I258" s="667">
        <v>4868</v>
      </c>
      <c r="J258" s="667">
        <v>0</v>
      </c>
      <c r="K258" s="948">
        <v>5000</v>
      </c>
      <c r="L258" s="964"/>
      <c r="M258" s="493">
        <v>5000</v>
      </c>
      <c r="N258" s="514">
        <f t="shared" si="82"/>
        <v>5000</v>
      </c>
      <c r="O258" s="968">
        <f t="shared" si="83"/>
        <v>5000</v>
      </c>
      <c r="P258" s="516">
        <v>66836</v>
      </c>
      <c r="Q258" s="516">
        <v>5588</v>
      </c>
      <c r="R258" s="516">
        <v>0</v>
      </c>
      <c r="S258" s="516">
        <v>0</v>
      </c>
    </row>
    <row r="259" spans="2:21" ht="15.6" customHeight="1" x14ac:dyDescent="0.25">
      <c r="B259" s="665">
        <v>472000.22</v>
      </c>
      <c r="C259" s="666" t="s">
        <v>1315</v>
      </c>
      <c r="D259" s="667">
        <v>93978</v>
      </c>
      <c r="E259" s="667">
        <v>83858</v>
      </c>
      <c r="F259" s="667">
        <f t="shared" si="95"/>
        <v>27952.666666666664</v>
      </c>
      <c r="G259" s="667">
        <f t="shared" si="89"/>
        <v>111810.66666666666</v>
      </c>
      <c r="H259" s="667">
        <v>0</v>
      </c>
      <c r="I259" s="667">
        <v>10631</v>
      </c>
      <c r="J259" s="667">
        <v>0</v>
      </c>
      <c r="K259" s="948">
        <v>25000</v>
      </c>
      <c r="L259" s="964"/>
      <c r="M259" s="493">
        <v>25000</v>
      </c>
      <c r="N259" s="514">
        <f t="shared" si="82"/>
        <v>25000</v>
      </c>
      <c r="O259" s="968">
        <f t="shared" si="83"/>
        <v>25000</v>
      </c>
      <c r="P259" s="516">
        <v>10570</v>
      </c>
      <c r="Q259" s="516">
        <v>35487</v>
      </c>
      <c r="R259" s="516">
        <v>15000</v>
      </c>
      <c r="S259" s="516">
        <v>0</v>
      </c>
      <c r="U259" s="514"/>
    </row>
    <row r="260" spans="2:21" ht="15.6" customHeight="1" x14ac:dyDescent="0.25">
      <c r="B260" s="665">
        <v>472000.31</v>
      </c>
      <c r="C260" s="666" t="s">
        <v>1316</v>
      </c>
      <c r="D260" s="667">
        <v>55500</v>
      </c>
      <c r="E260" s="667">
        <v>78338</v>
      </c>
      <c r="F260" s="667">
        <f t="shared" si="95"/>
        <v>26112.666666666668</v>
      </c>
      <c r="G260" s="667">
        <f t="shared" si="89"/>
        <v>104450.66666666667</v>
      </c>
      <c r="H260" s="667">
        <v>0</v>
      </c>
      <c r="I260" s="667">
        <v>30708</v>
      </c>
      <c r="J260" s="667">
        <v>0</v>
      </c>
      <c r="K260" s="948">
        <f t="shared" si="94"/>
        <v>61416</v>
      </c>
      <c r="L260" s="964"/>
      <c r="N260" s="514">
        <f t="shared" si="82"/>
        <v>61416</v>
      </c>
      <c r="O260" s="968">
        <f t="shared" si="83"/>
        <v>61416</v>
      </c>
      <c r="P260" s="516">
        <v>34842</v>
      </c>
      <c r="Q260" s="516">
        <v>45861</v>
      </c>
      <c r="R260" s="516">
        <v>46000</v>
      </c>
      <c r="S260" s="516">
        <v>0</v>
      </c>
    </row>
    <row r="261" spans="2:21" ht="15.6" customHeight="1" x14ac:dyDescent="0.25">
      <c r="B261" s="702">
        <v>472000.81</v>
      </c>
      <c r="C261" s="681" t="s">
        <v>1317</v>
      </c>
      <c r="D261" s="667">
        <f>50000/12*10</f>
        <v>41666.666666666672</v>
      </c>
      <c r="E261" s="667">
        <v>0</v>
      </c>
      <c r="F261" s="667">
        <f t="shared" si="95"/>
        <v>0</v>
      </c>
      <c r="G261" s="667">
        <f t="shared" si="89"/>
        <v>0</v>
      </c>
      <c r="H261" s="667">
        <v>0</v>
      </c>
      <c r="I261" s="667">
        <v>0</v>
      </c>
      <c r="J261" s="667">
        <v>0</v>
      </c>
      <c r="K261" s="948">
        <f t="shared" si="94"/>
        <v>0</v>
      </c>
      <c r="L261" s="964"/>
      <c r="N261" s="514">
        <f t="shared" si="82"/>
        <v>0</v>
      </c>
      <c r="O261" s="968">
        <f t="shared" si="83"/>
        <v>0</v>
      </c>
      <c r="P261" s="516">
        <v>0</v>
      </c>
      <c r="Q261" s="516">
        <f t="shared" ref="Q261" si="100">P261/9*12</f>
        <v>0</v>
      </c>
      <c r="R261" s="516">
        <v>0</v>
      </c>
      <c r="S261" s="516">
        <v>0</v>
      </c>
    </row>
    <row r="262" spans="2:21" s="412" customFormat="1" ht="15.6" customHeight="1" x14ac:dyDescent="0.2">
      <c r="B262" s="477"/>
      <c r="C262" s="478" t="s">
        <v>905</v>
      </c>
      <c r="D262" s="479">
        <f>SUM(D258:D261)</f>
        <v>297144.66666666669</v>
      </c>
      <c r="E262" s="479">
        <f t="shared" ref="E262:S262" si="101">SUM(E258:E261)</f>
        <v>263005</v>
      </c>
      <c r="F262" s="479">
        <f t="shared" si="101"/>
        <v>87668.333333333328</v>
      </c>
      <c r="G262" s="479">
        <f t="shared" si="101"/>
        <v>350673.33333333331</v>
      </c>
      <c r="H262" s="479">
        <f t="shared" si="101"/>
        <v>0</v>
      </c>
      <c r="I262" s="479">
        <f t="shared" si="101"/>
        <v>46207</v>
      </c>
      <c r="J262" s="479">
        <f t="shared" si="101"/>
        <v>0</v>
      </c>
      <c r="K262" s="950">
        <f t="shared" si="101"/>
        <v>91416</v>
      </c>
      <c r="L262" s="950">
        <f t="shared" si="101"/>
        <v>0</v>
      </c>
      <c r="M262" s="950">
        <f t="shared" si="101"/>
        <v>30000</v>
      </c>
      <c r="N262" s="950">
        <f t="shared" si="101"/>
        <v>91416</v>
      </c>
      <c r="O262" s="1041">
        <f t="shared" si="101"/>
        <v>91416</v>
      </c>
      <c r="P262" s="1053">
        <f t="shared" si="101"/>
        <v>112248</v>
      </c>
      <c r="Q262" s="1053">
        <f t="shared" si="101"/>
        <v>86936</v>
      </c>
      <c r="R262" s="1053">
        <f t="shared" si="101"/>
        <v>61000</v>
      </c>
      <c r="S262" s="1053">
        <f t="shared" si="101"/>
        <v>0</v>
      </c>
    </row>
    <row r="263" spans="2:21" ht="15.6" customHeight="1" x14ac:dyDescent="0.25">
      <c r="B263" s="706"/>
      <c r="C263" s="694"/>
      <c r="D263" s="667"/>
      <c r="E263" s="667"/>
      <c r="F263" s="667">
        <f t="shared" si="95"/>
        <v>0</v>
      </c>
      <c r="G263" s="667"/>
      <c r="H263" s="667"/>
      <c r="I263" s="667"/>
      <c r="J263" s="667"/>
      <c r="K263" s="948"/>
      <c r="L263" s="964"/>
      <c r="N263" s="514">
        <f t="shared" si="82"/>
        <v>0</v>
      </c>
      <c r="O263" s="968">
        <f t="shared" si="83"/>
        <v>0</v>
      </c>
      <c r="P263" s="516"/>
      <c r="Q263" s="516"/>
      <c r="R263" s="516"/>
      <c r="S263" s="516"/>
    </row>
    <row r="264" spans="2:21" ht="15.6" customHeight="1" x14ac:dyDescent="0.2">
      <c r="B264" s="703" t="s">
        <v>422</v>
      </c>
      <c r="C264" s="704" t="s">
        <v>140</v>
      </c>
      <c r="D264" s="705">
        <f t="shared" ref="D264:S264" si="102">SUM(D256+D262)</f>
        <v>5744644.666666667</v>
      </c>
      <c r="E264" s="705">
        <f t="shared" si="102"/>
        <v>4350100</v>
      </c>
      <c r="F264" s="705">
        <f t="shared" si="102"/>
        <v>1621104</v>
      </c>
      <c r="G264" s="705">
        <f t="shared" si="102"/>
        <v>5971204</v>
      </c>
      <c r="H264" s="705">
        <f t="shared" si="102"/>
        <v>2100000</v>
      </c>
      <c r="I264" s="705">
        <f t="shared" si="102"/>
        <v>2554791.73</v>
      </c>
      <c r="J264" s="705">
        <f t="shared" si="102"/>
        <v>600000</v>
      </c>
      <c r="K264" s="952">
        <f t="shared" si="102"/>
        <v>5739416</v>
      </c>
      <c r="L264" s="952">
        <f t="shared" si="102"/>
        <v>0</v>
      </c>
      <c r="M264" s="952">
        <f t="shared" si="102"/>
        <v>5678000</v>
      </c>
      <c r="N264" s="952">
        <f t="shared" si="102"/>
        <v>3639416</v>
      </c>
      <c r="O264" s="1043">
        <f t="shared" si="102"/>
        <v>3639416</v>
      </c>
      <c r="P264" s="1055">
        <f t="shared" si="102"/>
        <v>3637648</v>
      </c>
      <c r="Q264" s="1055">
        <f t="shared" si="102"/>
        <v>5895302</v>
      </c>
      <c r="R264" s="1055">
        <f t="shared" si="102"/>
        <v>5889750</v>
      </c>
      <c r="S264" s="1055">
        <f t="shared" si="102"/>
        <v>1949000</v>
      </c>
      <c r="T264" s="514"/>
    </row>
    <row r="265" spans="2:21" ht="15.6" customHeight="1" x14ac:dyDescent="0.25">
      <c r="B265" s="707"/>
      <c r="C265" s="708"/>
      <c r="D265" s="709"/>
      <c r="E265" s="709"/>
      <c r="F265" s="667">
        <f t="shared" si="95"/>
        <v>0</v>
      </c>
      <c r="G265" s="667"/>
      <c r="H265" s="709"/>
      <c r="I265" s="667"/>
      <c r="J265" s="709"/>
      <c r="K265" s="948"/>
      <c r="L265" s="964"/>
      <c r="N265" s="514">
        <f t="shared" si="82"/>
        <v>0</v>
      </c>
      <c r="O265" s="968">
        <f t="shared" si="83"/>
        <v>0</v>
      </c>
      <c r="P265" s="516"/>
      <c r="Q265" s="516"/>
      <c r="R265" s="516"/>
      <c r="S265" s="516"/>
    </row>
    <row r="266" spans="2:21" s="407" customFormat="1" ht="15.6" customHeight="1" x14ac:dyDescent="0.25">
      <c r="B266" s="664">
        <v>511000.9</v>
      </c>
      <c r="C266" s="681" t="s">
        <v>1318</v>
      </c>
      <c r="D266" s="667">
        <v>1000</v>
      </c>
      <c r="E266" s="667">
        <v>0</v>
      </c>
      <c r="F266" s="667">
        <f t="shared" si="95"/>
        <v>0</v>
      </c>
      <c r="G266" s="667">
        <f t="shared" si="89"/>
        <v>0</v>
      </c>
      <c r="H266" s="667">
        <v>0</v>
      </c>
      <c r="I266" s="667">
        <v>0</v>
      </c>
      <c r="J266" s="667">
        <v>0</v>
      </c>
      <c r="K266" s="948">
        <f t="shared" si="94"/>
        <v>0</v>
      </c>
      <c r="L266" s="964"/>
      <c r="N266" s="514">
        <f t="shared" si="82"/>
        <v>0</v>
      </c>
      <c r="O266" s="968">
        <f t="shared" si="83"/>
        <v>0</v>
      </c>
      <c r="P266" s="1056"/>
      <c r="Q266" s="1056">
        <v>0</v>
      </c>
      <c r="R266" s="1050">
        <v>0</v>
      </c>
      <c r="S266" s="1050">
        <v>0</v>
      </c>
    </row>
    <row r="267" spans="2:21" ht="15.6" customHeight="1" x14ac:dyDescent="0.25">
      <c r="B267" s="702">
        <v>513000.69</v>
      </c>
      <c r="C267" s="681" t="s">
        <v>1319</v>
      </c>
      <c r="D267" s="667">
        <v>500000</v>
      </c>
      <c r="E267" s="667">
        <v>381731</v>
      </c>
      <c r="F267" s="667">
        <f t="shared" si="95"/>
        <v>127243.66666666666</v>
      </c>
      <c r="G267" s="667">
        <f t="shared" si="89"/>
        <v>508974.66666666663</v>
      </c>
      <c r="H267" s="667">
        <v>300000</v>
      </c>
      <c r="I267" s="667">
        <v>0</v>
      </c>
      <c r="J267" s="667">
        <v>300000</v>
      </c>
      <c r="K267" s="948">
        <v>100000</v>
      </c>
      <c r="L267" s="964"/>
      <c r="M267" s="493">
        <v>100000</v>
      </c>
      <c r="N267" s="514">
        <f t="shared" si="82"/>
        <v>-200000</v>
      </c>
      <c r="O267" s="968">
        <f t="shared" si="83"/>
        <v>-200000</v>
      </c>
      <c r="P267" s="516">
        <v>226136</v>
      </c>
      <c r="Q267" s="516">
        <v>0</v>
      </c>
      <c r="R267" s="516">
        <v>0</v>
      </c>
      <c r="S267" s="516">
        <v>0</v>
      </c>
    </row>
    <row r="268" spans="2:21" ht="15.6" customHeight="1" x14ac:dyDescent="0.25">
      <c r="B268" s="702">
        <v>513100.9</v>
      </c>
      <c r="C268" s="681" t="s">
        <v>1320</v>
      </c>
      <c r="D268" s="667">
        <v>11673</v>
      </c>
      <c r="E268" s="667">
        <v>9207</v>
      </c>
      <c r="F268" s="667">
        <f t="shared" si="95"/>
        <v>3069</v>
      </c>
      <c r="G268" s="667">
        <f t="shared" si="89"/>
        <v>12276</v>
      </c>
      <c r="H268" s="667">
        <v>12000</v>
      </c>
      <c r="I268" s="667">
        <f>-VLOOKUP(C268,'הכנסות לשלפה'!$C$1:$H$246,4,FALSE)</f>
        <v>0</v>
      </c>
      <c r="J268" s="667">
        <v>12000</v>
      </c>
      <c r="K268" s="948">
        <f t="shared" si="94"/>
        <v>0</v>
      </c>
      <c r="L268" s="964"/>
      <c r="M268" s="493">
        <v>0</v>
      </c>
      <c r="N268" s="514">
        <f t="shared" si="82"/>
        <v>-12000</v>
      </c>
      <c r="O268" s="968">
        <f t="shared" si="83"/>
        <v>-12000</v>
      </c>
      <c r="P268" s="516"/>
      <c r="Q268" s="516">
        <v>1180662</v>
      </c>
      <c r="R268" s="1050">
        <v>260000</v>
      </c>
      <c r="S268" s="1050">
        <v>260000</v>
      </c>
    </row>
    <row r="269" spans="2:21" ht="15.6" customHeight="1" x14ac:dyDescent="0.25">
      <c r="B269" s="1147">
        <v>590000.89899999998</v>
      </c>
      <c r="C269" s="1148" t="s">
        <v>2018</v>
      </c>
      <c r="D269" s="1140"/>
      <c r="E269" s="1140"/>
      <c r="F269" s="1140"/>
      <c r="G269" s="1140"/>
      <c r="H269" s="1140"/>
      <c r="I269" s="1140">
        <v>289230</v>
      </c>
      <c r="J269" s="1140"/>
      <c r="K269" s="1141">
        <v>300000</v>
      </c>
      <c r="L269" s="1142"/>
      <c r="M269" s="1143">
        <v>300000</v>
      </c>
      <c r="N269" s="1144">
        <f t="shared" si="82"/>
        <v>300000</v>
      </c>
      <c r="O269" s="1145">
        <f t="shared" si="83"/>
        <v>300000</v>
      </c>
      <c r="P269" s="752">
        <v>289230</v>
      </c>
      <c r="Q269" s="752">
        <v>289230</v>
      </c>
      <c r="R269" s="1146">
        <v>0</v>
      </c>
      <c r="S269" s="1146">
        <v>0</v>
      </c>
    </row>
    <row r="270" spans="2:21" ht="15.6" customHeight="1" x14ac:dyDescent="0.25">
      <c r="B270" s="702">
        <v>591000.91</v>
      </c>
      <c r="C270" s="681" t="s">
        <v>1321</v>
      </c>
      <c r="D270" s="667">
        <v>0</v>
      </c>
      <c r="E270" s="667">
        <v>4598000</v>
      </c>
      <c r="F270" s="667">
        <v>0</v>
      </c>
      <c r="G270" s="667">
        <f t="shared" si="89"/>
        <v>4598000</v>
      </c>
      <c r="H270" s="667">
        <v>0</v>
      </c>
      <c r="I270" s="667">
        <f>-VLOOKUP(C270,'הכנסות לשלפה'!$C$1:$H$246,4,FALSE)</f>
        <v>0</v>
      </c>
      <c r="J270" s="673">
        <v>0</v>
      </c>
      <c r="K270" s="948">
        <f t="shared" si="94"/>
        <v>0</v>
      </c>
      <c r="L270" s="964"/>
      <c r="N270" s="514">
        <f t="shared" si="82"/>
        <v>0</v>
      </c>
      <c r="O270" s="968">
        <f t="shared" si="83"/>
        <v>0</v>
      </c>
      <c r="P270" s="516"/>
      <c r="Q270" s="516"/>
      <c r="R270" s="1050">
        <v>0</v>
      </c>
      <c r="S270" s="1050">
        <v>0</v>
      </c>
    </row>
    <row r="271" spans="2:21" ht="15.6" customHeight="1" x14ac:dyDescent="0.25">
      <c r="B271" s="702">
        <v>599300.92000000004</v>
      </c>
      <c r="C271" s="681" t="s">
        <v>1322</v>
      </c>
      <c r="D271" s="667">
        <v>7701884</v>
      </c>
      <c r="E271" s="959">
        <v>7701875</v>
      </c>
      <c r="F271" s="667">
        <v>0</v>
      </c>
      <c r="G271" s="667">
        <f t="shared" si="89"/>
        <v>7701875</v>
      </c>
      <c r="H271" s="667">
        <v>0</v>
      </c>
      <c r="I271" s="667">
        <f>-VLOOKUP(C271,'הכנסות לשלפה'!$C$1:$H$246,4,FALSE)</f>
        <v>0</v>
      </c>
      <c r="J271" s="673">
        <v>0</v>
      </c>
      <c r="K271" s="948">
        <f t="shared" si="94"/>
        <v>0</v>
      </c>
      <c r="L271" s="964"/>
      <c r="N271" s="514">
        <f t="shared" si="82"/>
        <v>0</v>
      </c>
      <c r="O271" s="968">
        <f t="shared" si="83"/>
        <v>0</v>
      </c>
      <c r="P271" s="516"/>
      <c r="Q271" s="516"/>
      <c r="R271" s="1050">
        <v>0</v>
      </c>
      <c r="S271" s="1050">
        <v>0</v>
      </c>
    </row>
    <row r="272" spans="2:21" s="413" customFormat="1" ht="15.6" customHeight="1" x14ac:dyDescent="0.2">
      <c r="B272" s="703" t="s">
        <v>1323</v>
      </c>
      <c r="C272" s="704" t="s">
        <v>143</v>
      </c>
      <c r="D272" s="705">
        <f>SUM(D266:D271)</f>
        <v>8214557</v>
      </c>
      <c r="E272" s="705">
        <f t="shared" ref="E272:S272" si="103">SUM(E266:E271)</f>
        <v>12690813</v>
      </c>
      <c r="F272" s="705">
        <f t="shared" si="103"/>
        <v>130312.66666666666</v>
      </c>
      <c r="G272" s="705">
        <f t="shared" si="103"/>
        <v>12821125.666666668</v>
      </c>
      <c r="H272" s="705">
        <f t="shared" si="103"/>
        <v>312000</v>
      </c>
      <c r="I272" s="705">
        <f t="shared" si="103"/>
        <v>289230</v>
      </c>
      <c r="J272" s="705">
        <f t="shared" si="103"/>
        <v>312000</v>
      </c>
      <c r="K272" s="952">
        <f t="shared" si="103"/>
        <v>400000</v>
      </c>
      <c r="L272" s="952">
        <f t="shared" si="103"/>
        <v>0</v>
      </c>
      <c r="M272" s="952">
        <f t="shared" si="103"/>
        <v>400000</v>
      </c>
      <c r="N272" s="952">
        <f t="shared" si="103"/>
        <v>88000</v>
      </c>
      <c r="O272" s="1043">
        <f t="shared" si="103"/>
        <v>88000</v>
      </c>
      <c r="P272" s="952">
        <f t="shared" si="103"/>
        <v>515366</v>
      </c>
      <c r="Q272" s="952">
        <f t="shared" si="103"/>
        <v>1469892</v>
      </c>
      <c r="R272" s="952">
        <f t="shared" si="103"/>
        <v>260000</v>
      </c>
      <c r="S272" s="952">
        <f t="shared" si="103"/>
        <v>260000</v>
      </c>
    </row>
    <row r="273" spans="2:20" ht="15.6" customHeight="1" x14ac:dyDescent="0.25">
      <c r="B273" s="458"/>
      <c r="C273" s="681"/>
      <c r="D273" s="667"/>
      <c r="E273" s="667"/>
      <c r="F273" s="667">
        <f t="shared" si="95"/>
        <v>0</v>
      </c>
      <c r="G273" s="667"/>
      <c r="H273" s="667"/>
      <c r="I273" s="667"/>
      <c r="J273" s="667"/>
      <c r="K273" s="948"/>
      <c r="L273" s="964"/>
      <c r="M273" s="514"/>
      <c r="N273" s="514">
        <f t="shared" si="82"/>
        <v>0</v>
      </c>
      <c r="O273" s="968">
        <f t="shared" si="83"/>
        <v>0</v>
      </c>
      <c r="P273" s="523"/>
      <c r="Q273" s="523"/>
      <c r="R273" s="523"/>
      <c r="S273" s="523"/>
    </row>
    <row r="274" spans="2:20" ht="15.6" customHeight="1" x14ac:dyDescent="0.25">
      <c r="B274" s="710"/>
      <c r="C274" s="711" t="s">
        <v>433</v>
      </c>
      <c r="D274" s="712">
        <f t="shared" ref="D274:S274" si="104">SUM(D272+D264+D248+D59+D24)</f>
        <v>69500176.566666663</v>
      </c>
      <c r="E274" s="712">
        <f t="shared" si="104"/>
        <v>64943338</v>
      </c>
      <c r="F274" s="712">
        <f t="shared" si="104"/>
        <v>9015823.7272727266</v>
      </c>
      <c r="G274" s="712">
        <f t="shared" si="104"/>
        <v>73959161.727272734</v>
      </c>
      <c r="H274" s="712">
        <f t="shared" si="104"/>
        <v>59759585.862506665</v>
      </c>
      <c r="I274" s="712" t="e">
        <f t="shared" si="104"/>
        <v>#N/A</v>
      </c>
      <c r="J274" s="712">
        <f t="shared" si="104"/>
        <v>61203450.400000006</v>
      </c>
      <c r="K274" s="955">
        <f t="shared" si="104"/>
        <v>66416894</v>
      </c>
      <c r="L274" s="955">
        <f t="shared" si="104"/>
        <v>0</v>
      </c>
      <c r="M274" s="955" t="e">
        <f t="shared" si="104"/>
        <v>#VALUE!</v>
      </c>
      <c r="N274" s="955">
        <f t="shared" si="104"/>
        <v>6534263.1374933328</v>
      </c>
      <c r="O274" s="1048">
        <f t="shared" si="104"/>
        <v>6534263.1374933328</v>
      </c>
      <c r="P274" s="955">
        <f t="shared" si="104"/>
        <v>45648061</v>
      </c>
      <c r="Q274" s="955">
        <f t="shared" si="104"/>
        <v>69413583.333333328</v>
      </c>
      <c r="R274" s="955">
        <f t="shared" si="104"/>
        <v>69745629.75</v>
      </c>
      <c r="S274" s="955">
        <f t="shared" si="104"/>
        <v>65284479.75</v>
      </c>
      <c r="T274" s="1049"/>
    </row>
    <row r="275" spans="2:20" x14ac:dyDescent="0.2">
      <c r="Q275" s="1150"/>
    </row>
    <row r="276" spans="2:20" x14ac:dyDescent="0.2">
      <c r="C276" s="663" t="s">
        <v>3291</v>
      </c>
      <c r="D276" s="888">
        <f>'טבלה מעודכנת '!B26</f>
        <v>54011</v>
      </c>
      <c r="E276" s="888">
        <f>'טבלה מעודכנת '!C26</f>
        <v>64655.622000000003</v>
      </c>
      <c r="F276" s="888">
        <f>'טבלה מעודכנת '!D26</f>
        <v>8919.9183939393934</v>
      </c>
      <c r="G276" s="888">
        <f>'טבלה מעודכנת '!E26</f>
        <v>79663</v>
      </c>
      <c r="H276" s="888">
        <f>'טבלה מעודכנת '!F26</f>
        <v>54011</v>
      </c>
      <c r="I276" s="888"/>
      <c r="J276" s="888" t="e">
        <f>'טבלה מעודכנת '!I26</f>
        <v>#REF!</v>
      </c>
      <c r="K276" s="956"/>
      <c r="L276" s="966"/>
      <c r="M276" s="889"/>
      <c r="P276" s="1049"/>
      <c r="R276" s="514"/>
      <c r="S276" s="1049"/>
    </row>
    <row r="277" spans="2:20" x14ac:dyDescent="0.2">
      <c r="D277" s="888"/>
      <c r="E277" s="888"/>
      <c r="F277" s="888"/>
      <c r="G277" s="888"/>
      <c r="H277" s="888"/>
      <c r="I277" s="888"/>
      <c r="J277" s="888"/>
      <c r="K277" s="956"/>
      <c r="L277" s="966"/>
      <c r="M277" s="889"/>
      <c r="R277" s="514"/>
    </row>
    <row r="278" spans="2:20" x14ac:dyDescent="0.2">
      <c r="D278" s="888">
        <f>D276-D274/1000</f>
        <v>-15489.176566666662</v>
      </c>
      <c r="E278" s="888">
        <f>E276-E274/1000</f>
        <v>-287.71600000000035</v>
      </c>
      <c r="F278" s="888">
        <f>F276-F274/1000</f>
        <v>-95.905333333334056</v>
      </c>
      <c r="G278" s="888">
        <f t="shared" ref="G278:J278" si="105">G276-G274/1000</f>
        <v>5703.8382727272692</v>
      </c>
      <c r="H278" s="888">
        <f>H276-H274/1000</f>
        <v>-5748.5858625066685</v>
      </c>
      <c r="I278" s="888"/>
      <c r="J278" s="888" t="e">
        <f t="shared" si="105"/>
        <v>#REF!</v>
      </c>
      <c r="K278" s="956"/>
      <c r="L278" s="966"/>
      <c r="M278" s="889"/>
      <c r="R278" s="1049"/>
    </row>
    <row r="279" spans="2:20" x14ac:dyDescent="0.2">
      <c r="D279" s="888"/>
      <c r="E279" s="888"/>
      <c r="F279" s="888"/>
      <c r="G279" s="888"/>
      <c r="H279" s="888"/>
      <c r="I279" s="888"/>
      <c r="J279" s="888"/>
      <c r="K279" s="956"/>
      <c r="L279" s="966"/>
      <c r="M279" s="889"/>
      <c r="R279" s="514"/>
    </row>
    <row r="280" spans="2:20" x14ac:dyDescent="0.2">
      <c r="D280" s="888"/>
      <c r="E280" s="888"/>
      <c r="F280" s="888"/>
      <c r="G280" s="888"/>
      <c r="H280" s="888"/>
      <c r="I280" s="888"/>
      <c r="J280" s="888"/>
      <c r="K280" s="956"/>
      <c r="L280" s="966"/>
      <c r="M280" s="889"/>
    </row>
    <row r="282" spans="2:20" x14ac:dyDescent="0.2">
      <c r="R282" s="1049"/>
    </row>
    <row r="284" spans="2:20" x14ac:dyDescent="0.2">
      <c r="R284" s="1049"/>
    </row>
    <row r="289" spans="18:18" x14ac:dyDescent="0.2">
      <c r="R289" s="1049"/>
    </row>
    <row r="290" spans="18:18" x14ac:dyDescent="0.2">
      <c r="R290" s="1049"/>
    </row>
    <row r="291" spans="18:18" x14ac:dyDescent="0.2">
      <c r="R291" s="1049"/>
    </row>
    <row r="292" spans="18:18" x14ac:dyDescent="0.2">
      <c r="R292" s="1049"/>
    </row>
  </sheetData>
  <pageMargins left="0.25" right="0.25" top="0.75" bottom="0.75" header="0.3" footer="0.3"/>
  <pageSetup paperSize="9" scale="67" orientation="portrait" r:id="rId1"/>
  <headerFooter alignWithMargins="0">
    <oddHeader>&amp;C&amp;"David,מודגש"&amp;11&amp;Uמועצה מקומית עוספיההסברים לעדכון התקציב הרגיל  2016-2018 - הכנסות</oddHeader>
    <oddFooter>&amp;C&amp;"David,מודגש"&amp;11עמוד &amp;P</oddFooter>
  </headerFooter>
  <ignoredErrors>
    <ignoredError sqref="P67 R118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2"/>
  <sheetViews>
    <sheetView rightToLeft="1" tabSelected="1" topLeftCell="D151" zoomScaleNormal="100" workbookViewId="0">
      <selection activeCell="Q186" sqref="Q186"/>
    </sheetView>
  </sheetViews>
  <sheetFormatPr defaultRowHeight="12.75" outlineLevelRow="2" x14ac:dyDescent="0.2"/>
  <cols>
    <col min="1" max="1" width="9.140625" style="1075"/>
    <col min="2" max="2" width="15.5703125" style="1075" bestFit="1" customWidth="1"/>
    <col min="3" max="3" width="16" style="1075" bestFit="1" customWidth="1"/>
    <col min="4" max="4" width="12.5703125" style="1075" bestFit="1" customWidth="1"/>
    <col min="5" max="5" width="11.5703125" style="1075" bestFit="1" customWidth="1"/>
    <col min="6" max="6" width="10.5703125" style="1075" bestFit="1" customWidth="1"/>
    <col min="7" max="12" width="0" style="1075" hidden="1" customWidth="1"/>
    <col min="13" max="13" width="12.28515625" style="1075" bestFit="1" customWidth="1"/>
    <col min="14" max="14" width="22.42578125" style="1075" bestFit="1" customWidth="1"/>
    <col min="15" max="15" width="11.85546875" style="1077" bestFit="1" customWidth="1"/>
    <col min="16" max="16" width="0" style="1075" hidden="1" customWidth="1"/>
    <col min="17" max="17" width="23.85546875" style="1075" bestFit="1" customWidth="1"/>
    <col min="18" max="31" width="0" style="1075" hidden="1" customWidth="1"/>
    <col min="32" max="32" width="4.7109375" style="1075" hidden="1" customWidth="1"/>
    <col min="33" max="33" width="18" style="1103" bestFit="1" customWidth="1"/>
    <col min="34" max="34" width="16.5703125" style="1075" bestFit="1" customWidth="1"/>
    <col min="35" max="35" width="11.7109375" style="1075" bestFit="1" customWidth="1"/>
    <col min="36" max="36" width="12.140625" style="1077" bestFit="1" customWidth="1"/>
    <col min="37" max="37" width="19.140625" style="1075" bestFit="1" customWidth="1"/>
    <col min="38" max="38" width="9.28515625" style="1110" bestFit="1" customWidth="1"/>
    <col min="39" max="39" width="11.7109375" style="1075" bestFit="1" customWidth="1"/>
    <col min="40" max="40" width="9.28515625" style="1085" hidden="1" customWidth="1"/>
    <col min="41" max="41" width="11.7109375" style="1074" hidden="1" customWidth="1"/>
    <col min="42" max="42" width="9.140625" style="1075"/>
    <col min="43" max="43" width="18.7109375" style="1075" bestFit="1" customWidth="1"/>
    <col min="44" max="260" width="9.140625" style="1075"/>
    <col min="261" max="261" width="16" style="1075" bestFit="1" customWidth="1"/>
    <col min="262" max="265" width="9.140625" style="1075"/>
    <col min="266" max="270" width="0" style="1075" hidden="1" customWidth="1"/>
    <col min="271" max="271" width="9.140625" style="1075"/>
    <col min="272" max="272" width="19.7109375" style="1075" bestFit="1" customWidth="1"/>
    <col min="273" max="287" width="0" style="1075" hidden="1" customWidth="1"/>
    <col min="288" max="516" width="9.140625" style="1075"/>
    <col min="517" max="517" width="16" style="1075" bestFit="1" customWidth="1"/>
    <col min="518" max="521" width="9.140625" style="1075"/>
    <col min="522" max="526" width="0" style="1075" hidden="1" customWidth="1"/>
    <col min="527" max="527" width="9.140625" style="1075"/>
    <col min="528" max="528" width="19.7109375" style="1075" bestFit="1" customWidth="1"/>
    <col min="529" max="543" width="0" style="1075" hidden="1" customWidth="1"/>
    <col min="544" max="772" width="9.140625" style="1075"/>
    <col min="773" max="773" width="16" style="1075" bestFit="1" customWidth="1"/>
    <col min="774" max="777" width="9.140625" style="1075"/>
    <col min="778" max="782" width="0" style="1075" hidden="1" customWidth="1"/>
    <col min="783" max="783" width="9.140625" style="1075"/>
    <col min="784" max="784" width="19.7109375" style="1075" bestFit="1" customWidth="1"/>
    <col min="785" max="799" width="0" style="1075" hidden="1" customWidth="1"/>
    <col min="800" max="1028" width="9.140625" style="1075"/>
    <col min="1029" max="1029" width="16" style="1075" bestFit="1" customWidth="1"/>
    <col min="1030" max="1033" width="9.140625" style="1075"/>
    <col min="1034" max="1038" width="0" style="1075" hidden="1" customWidth="1"/>
    <col min="1039" max="1039" width="9.140625" style="1075"/>
    <col min="1040" max="1040" width="19.7109375" style="1075" bestFit="1" customWidth="1"/>
    <col min="1041" max="1055" width="0" style="1075" hidden="1" customWidth="1"/>
    <col min="1056" max="1284" width="9.140625" style="1075"/>
    <col min="1285" max="1285" width="16" style="1075" bestFit="1" customWidth="1"/>
    <col min="1286" max="1289" width="9.140625" style="1075"/>
    <col min="1290" max="1294" width="0" style="1075" hidden="1" customWidth="1"/>
    <col min="1295" max="1295" width="9.140625" style="1075"/>
    <col min="1296" max="1296" width="19.7109375" style="1075" bestFit="1" customWidth="1"/>
    <col min="1297" max="1311" width="0" style="1075" hidden="1" customWidth="1"/>
    <col min="1312" max="1540" width="9.140625" style="1075"/>
    <col min="1541" max="1541" width="16" style="1075" bestFit="1" customWidth="1"/>
    <col min="1542" max="1545" width="9.140625" style="1075"/>
    <col min="1546" max="1550" width="0" style="1075" hidden="1" customWidth="1"/>
    <col min="1551" max="1551" width="9.140625" style="1075"/>
    <col min="1552" max="1552" width="19.7109375" style="1075" bestFit="1" customWidth="1"/>
    <col min="1553" max="1567" width="0" style="1075" hidden="1" customWidth="1"/>
    <col min="1568" max="1796" width="9.140625" style="1075"/>
    <col min="1797" max="1797" width="16" style="1075" bestFit="1" customWidth="1"/>
    <col min="1798" max="1801" width="9.140625" style="1075"/>
    <col min="1802" max="1806" width="0" style="1075" hidden="1" customWidth="1"/>
    <col min="1807" max="1807" width="9.140625" style="1075"/>
    <col min="1808" max="1808" width="19.7109375" style="1075" bestFit="1" customWidth="1"/>
    <col min="1809" max="1823" width="0" style="1075" hidden="1" customWidth="1"/>
    <col min="1824" max="2052" width="9.140625" style="1075"/>
    <col min="2053" max="2053" width="16" style="1075" bestFit="1" customWidth="1"/>
    <col min="2054" max="2057" width="9.140625" style="1075"/>
    <col min="2058" max="2062" width="0" style="1075" hidden="1" customWidth="1"/>
    <col min="2063" max="2063" width="9.140625" style="1075"/>
    <col min="2064" max="2064" width="19.7109375" style="1075" bestFit="1" customWidth="1"/>
    <col min="2065" max="2079" width="0" style="1075" hidden="1" customWidth="1"/>
    <col min="2080" max="2308" width="9.140625" style="1075"/>
    <col min="2309" max="2309" width="16" style="1075" bestFit="1" customWidth="1"/>
    <col min="2310" max="2313" width="9.140625" style="1075"/>
    <col min="2314" max="2318" width="0" style="1075" hidden="1" customWidth="1"/>
    <col min="2319" max="2319" width="9.140625" style="1075"/>
    <col min="2320" max="2320" width="19.7109375" style="1075" bestFit="1" customWidth="1"/>
    <col min="2321" max="2335" width="0" style="1075" hidden="1" customWidth="1"/>
    <col min="2336" max="2564" width="9.140625" style="1075"/>
    <col min="2565" max="2565" width="16" style="1075" bestFit="1" customWidth="1"/>
    <col min="2566" max="2569" width="9.140625" style="1075"/>
    <col min="2570" max="2574" width="0" style="1075" hidden="1" customWidth="1"/>
    <col min="2575" max="2575" width="9.140625" style="1075"/>
    <col min="2576" max="2576" width="19.7109375" style="1075" bestFit="1" customWidth="1"/>
    <col min="2577" max="2591" width="0" style="1075" hidden="1" customWidth="1"/>
    <col min="2592" max="2820" width="9.140625" style="1075"/>
    <col min="2821" max="2821" width="16" style="1075" bestFit="1" customWidth="1"/>
    <col min="2822" max="2825" width="9.140625" style="1075"/>
    <col min="2826" max="2830" width="0" style="1075" hidden="1" customWidth="1"/>
    <col min="2831" max="2831" width="9.140625" style="1075"/>
    <col min="2832" max="2832" width="19.7109375" style="1075" bestFit="1" customWidth="1"/>
    <col min="2833" max="2847" width="0" style="1075" hidden="1" customWidth="1"/>
    <col min="2848" max="3076" width="9.140625" style="1075"/>
    <col min="3077" max="3077" width="16" style="1075" bestFit="1" customWidth="1"/>
    <col min="3078" max="3081" width="9.140625" style="1075"/>
    <col min="3082" max="3086" width="0" style="1075" hidden="1" customWidth="1"/>
    <col min="3087" max="3087" width="9.140625" style="1075"/>
    <col min="3088" max="3088" width="19.7109375" style="1075" bestFit="1" customWidth="1"/>
    <col min="3089" max="3103" width="0" style="1075" hidden="1" customWidth="1"/>
    <col min="3104" max="3332" width="9.140625" style="1075"/>
    <col min="3333" max="3333" width="16" style="1075" bestFit="1" customWidth="1"/>
    <col min="3334" max="3337" width="9.140625" style="1075"/>
    <col min="3338" max="3342" width="0" style="1075" hidden="1" customWidth="1"/>
    <col min="3343" max="3343" width="9.140625" style="1075"/>
    <col min="3344" max="3344" width="19.7109375" style="1075" bestFit="1" customWidth="1"/>
    <col min="3345" max="3359" width="0" style="1075" hidden="1" customWidth="1"/>
    <col min="3360" max="3588" width="9.140625" style="1075"/>
    <col min="3589" max="3589" width="16" style="1075" bestFit="1" customWidth="1"/>
    <col min="3590" max="3593" width="9.140625" style="1075"/>
    <col min="3594" max="3598" width="0" style="1075" hidden="1" customWidth="1"/>
    <col min="3599" max="3599" width="9.140625" style="1075"/>
    <col min="3600" max="3600" width="19.7109375" style="1075" bestFit="1" customWidth="1"/>
    <col min="3601" max="3615" width="0" style="1075" hidden="1" customWidth="1"/>
    <col min="3616" max="3844" width="9.140625" style="1075"/>
    <col min="3845" max="3845" width="16" style="1075" bestFit="1" customWidth="1"/>
    <col min="3846" max="3849" width="9.140625" style="1075"/>
    <col min="3850" max="3854" width="0" style="1075" hidden="1" customWidth="1"/>
    <col min="3855" max="3855" width="9.140625" style="1075"/>
    <col min="3856" max="3856" width="19.7109375" style="1075" bestFit="1" customWidth="1"/>
    <col min="3857" max="3871" width="0" style="1075" hidden="1" customWidth="1"/>
    <col min="3872" max="4100" width="9.140625" style="1075"/>
    <col min="4101" max="4101" width="16" style="1075" bestFit="1" customWidth="1"/>
    <col min="4102" max="4105" width="9.140625" style="1075"/>
    <col min="4106" max="4110" width="0" style="1075" hidden="1" customWidth="1"/>
    <col min="4111" max="4111" width="9.140625" style="1075"/>
    <col min="4112" max="4112" width="19.7109375" style="1075" bestFit="1" customWidth="1"/>
    <col min="4113" max="4127" width="0" style="1075" hidden="1" customWidth="1"/>
    <col min="4128" max="4356" width="9.140625" style="1075"/>
    <col min="4357" max="4357" width="16" style="1075" bestFit="1" customWidth="1"/>
    <col min="4358" max="4361" width="9.140625" style="1075"/>
    <col min="4362" max="4366" width="0" style="1075" hidden="1" customWidth="1"/>
    <col min="4367" max="4367" width="9.140625" style="1075"/>
    <col min="4368" max="4368" width="19.7109375" style="1075" bestFit="1" customWidth="1"/>
    <col min="4369" max="4383" width="0" style="1075" hidden="1" customWidth="1"/>
    <col min="4384" max="4612" width="9.140625" style="1075"/>
    <col min="4613" max="4613" width="16" style="1075" bestFit="1" customWidth="1"/>
    <col min="4614" max="4617" width="9.140625" style="1075"/>
    <col min="4618" max="4622" width="0" style="1075" hidden="1" customWidth="1"/>
    <col min="4623" max="4623" width="9.140625" style="1075"/>
    <col min="4624" max="4624" width="19.7109375" style="1075" bestFit="1" customWidth="1"/>
    <col min="4625" max="4639" width="0" style="1075" hidden="1" customWidth="1"/>
    <col min="4640" max="4868" width="9.140625" style="1075"/>
    <col min="4869" max="4869" width="16" style="1075" bestFit="1" customWidth="1"/>
    <col min="4870" max="4873" width="9.140625" style="1075"/>
    <col min="4874" max="4878" width="0" style="1075" hidden="1" customWidth="1"/>
    <col min="4879" max="4879" width="9.140625" style="1075"/>
    <col min="4880" max="4880" width="19.7109375" style="1075" bestFit="1" customWidth="1"/>
    <col min="4881" max="4895" width="0" style="1075" hidden="1" customWidth="1"/>
    <col min="4896" max="5124" width="9.140625" style="1075"/>
    <col min="5125" max="5125" width="16" style="1075" bestFit="1" customWidth="1"/>
    <col min="5126" max="5129" width="9.140625" style="1075"/>
    <col min="5130" max="5134" width="0" style="1075" hidden="1" customWidth="1"/>
    <col min="5135" max="5135" width="9.140625" style="1075"/>
    <col min="5136" max="5136" width="19.7109375" style="1075" bestFit="1" customWidth="1"/>
    <col min="5137" max="5151" width="0" style="1075" hidden="1" customWidth="1"/>
    <col min="5152" max="5380" width="9.140625" style="1075"/>
    <col min="5381" max="5381" width="16" style="1075" bestFit="1" customWidth="1"/>
    <col min="5382" max="5385" width="9.140625" style="1075"/>
    <col min="5386" max="5390" width="0" style="1075" hidden="1" customWidth="1"/>
    <col min="5391" max="5391" width="9.140625" style="1075"/>
    <col min="5392" max="5392" width="19.7109375" style="1075" bestFit="1" customWidth="1"/>
    <col min="5393" max="5407" width="0" style="1075" hidden="1" customWidth="1"/>
    <col min="5408" max="5636" width="9.140625" style="1075"/>
    <col min="5637" max="5637" width="16" style="1075" bestFit="1" customWidth="1"/>
    <col min="5638" max="5641" width="9.140625" style="1075"/>
    <col min="5642" max="5646" width="0" style="1075" hidden="1" customWidth="1"/>
    <col min="5647" max="5647" width="9.140625" style="1075"/>
    <col min="5648" max="5648" width="19.7109375" style="1075" bestFit="1" customWidth="1"/>
    <col min="5649" max="5663" width="0" style="1075" hidden="1" customWidth="1"/>
    <col min="5664" max="5892" width="9.140625" style="1075"/>
    <col min="5893" max="5893" width="16" style="1075" bestFit="1" customWidth="1"/>
    <col min="5894" max="5897" width="9.140625" style="1075"/>
    <col min="5898" max="5902" width="0" style="1075" hidden="1" customWidth="1"/>
    <col min="5903" max="5903" width="9.140625" style="1075"/>
    <col min="5904" max="5904" width="19.7109375" style="1075" bestFit="1" customWidth="1"/>
    <col min="5905" max="5919" width="0" style="1075" hidden="1" customWidth="1"/>
    <col min="5920" max="6148" width="9.140625" style="1075"/>
    <col min="6149" max="6149" width="16" style="1075" bestFit="1" customWidth="1"/>
    <col min="6150" max="6153" width="9.140625" style="1075"/>
    <col min="6154" max="6158" width="0" style="1075" hidden="1" customWidth="1"/>
    <col min="6159" max="6159" width="9.140625" style="1075"/>
    <col min="6160" max="6160" width="19.7109375" style="1075" bestFit="1" customWidth="1"/>
    <col min="6161" max="6175" width="0" style="1075" hidden="1" customWidth="1"/>
    <col min="6176" max="6404" width="9.140625" style="1075"/>
    <col min="6405" max="6405" width="16" style="1075" bestFit="1" customWidth="1"/>
    <col min="6406" max="6409" width="9.140625" style="1075"/>
    <col min="6410" max="6414" width="0" style="1075" hidden="1" customWidth="1"/>
    <col min="6415" max="6415" width="9.140625" style="1075"/>
    <col min="6416" max="6416" width="19.7109375" style="1075" bestFit="1" customWidth="1"/>
    <col min="6417" max="6431" width="0" style="1075" hidden="1" customWidth="1"/>
    <col min="6432" max="6660" width="9.140625" style="1075"/>
    <col min="6661" max="6661" width="16" style="1075" bestFit="1" customWidth="1"/>
    <col min="6662" max="6665" width="9.140625" style="1075"/>
    <col min="6666" max="6670" width="0" style="1075" hidden="1" customWidth="1"/>
    <col min="6671" max="6671" width="9.140625" style="1075"/>
    <col min="6672" max="6672" width="19.7109375" style="1075" bestFit="1" customWidth="1"/>
    <col min="6673" max="6687" width="0" style="1075" hidden="1" customWidth="1"/>
    <col min="6688" max="6916" width="9.140625" style="1075"/>
    <col min="6917" max="6917" width="16" style="1075" bestFit="1" customWidth="1"/>
    <col min="6918" max="6921" width="9.140625" style="1075"/>
    <col min="6922" max="6926" width="0" style="1075" hidden="1" customWidth="1"/>
    <col min="6927" max="6927" width="9.140625" style="1075"/>
    <col min="6928" max="6928" width="19.7109375" style="1075" bestFit="1" customWidth="1"/>
    <col min="6929" max="6943" width="0" style="1075" hidden="1" customWidth="1"/>
    <col min="6944" max="7172" width="9.140625" style="1075"/>
    <col min="7173" max="7173" width="16" style="1075" bestFit="1" customWidth="1"/>
    <col min="7174" max="7177" width="9.140625" style="1075"/>
    <col min="7178" max="7182" width="0" style="1075" hidden="1" customWidth="1"/>
    <col min="7183" max="7183" width="9.140625" style="1075"/>
    <col min="7184" max="7184" width="19.7109375" style="1075" bestFit="1" customWidth="1"/>
    <col min="7185" max="7199" width="0" style="1075" hidden="1" customWidth="1"/>
    <col min="7200" max="7428" width="9.140625" style="1075"/>
    <col min="7429" max="7429" width="16" style="1075" bestFit="1" customWidth="1"/>
    <col min="7430" max="7433" width="9.140625" style="1075"/>
    <col min="7434" max="7438" width="0" style="1075" hidden="1" customWidth="1"/>
    <col min="7439" max="7439" width="9.140625" style="1075"/>
    <col min="7440" max="7440" width="19.7109375" style="1075" bestFit="1" customWidth="1"/>
    <col min="7441" max="7455" width="0" style="1075" hidden="1" customWidth="1"/>
    <col min="7456" max="7684" width="9.140625" style="1075"/>
    <col min="7685" max="7685" width="16" style="1075" bestFit="1" customWidth="1"/>
    <col min="7686" max="7689" width="9.140625" style="1075"/>
    <col min="7690" max="7694" width="0" style="1075" hidden="1" customWidth="1"/>
    <col min="7695" max="7695" width="9.140625" style="1075"/>
    <col min="7696" max="7696" width="19.7109375" style="1075" bestFit="1" customWidth="1"/>
    <col min="7697" max="7711" width="0" style="1075" hidden="1" customWidth="1"/>
    <col min="7712" max="7940" width="9.140625" style="1075"/>
    <col min="7941" max="7941" width="16" style="1075" bestFit="1" customWidth="1"/>
    <col min="7942" max="7945" width="9.140625" style="1075"/>
    <col min="7946" max="7950" width="0" style="1075" hidden="1" customWidth="1"/>
    <col min="7951" max="7951" width="9.140625" style="1075"/>
    <col min="7952" max="7952" width="19.7109375" style="1075" bestFit="1" customWidth="1"/>
    <col min="7953" max="7967" width="0" style="1075" hidden="1" customWidth="1"/>
    <col min="7968" max="8196" width="9.140625" style="1075"/>
    <col min="8197" max="8197" width="16" style="1075" bestFit="1" customWidth="1"/>
    <col min="8198" max="8201" width="9.140625" style="1075"/>
    <col min="8202" max="8206" width="0" style="1075" hidden="1" customWidth="1"/>
    <col min="8207" max="8207" width="9.140625" style="1075"/>
    <col min="8208" max="8208" width="19.7109375" style="1075" bestFit="1" customWidth="1"/>
    <col min="8209" max="8223" width="0" style="1075" hidden="1" customWidth="1"/>
    <col min="8224" max="8452" width="9.140625" style="1075"/>
    <col min="8453" max="8453" width="16" style="1075" bestFit="1" customWidth="1"/>
    <col min="8454" max="8457" width="9.140625" style="1075"/>
    <col min="8458" max="8462" width="0" style="1075" hidden="1" customWidth="1"/>
    <col min="8463" max="8463" width="9.140625" style="1075"/>
    <col min="8464" max="8464" width="19.7109375" style="1075" bestFit="1" customWidth="1"/>
    <col min="8465" max="8479" width="0" style="1075" hidden="1" customWidth="1"/>
    <col min="8480" max="8708" width="9.140625" style="1075"/>
    <col min="8709" max="8709" width="16" style="1075" bestFit="1" customWidth="1"/>
    <col min="8710" max="8713" width="9.140625" style="1075"/>
    <col min="8714" max="8718" width="0" style="1075" hidden="1" customWidth="1"/>
    <col min="8719" max="8719" width="9.140625" style="1075"/>
    <col min="8720" max="8720" width="19.7109375" style="1075" bestFit="1" customWidth="1"/>
    <col min="8721" max="8735" width="0" style="1075" hidden="1" customWidth="1"/>
    <col min="8736" max="8964" width="9.140625" style="1075"/>
    <col min="8965" max="8965" width="16" style="1075" bestFit="1" customWidth="1"/>
    <col min="8966" max="8969" width="9.140625" style="1075"/>
    <col min="8970" max="8974" width="0" style="1075" hidden="1" customWidth="1"/>
    <col min="8975" max="8975" width="9.140625" style="1075"/>
    <col min="8976" max="8976" width="19.7109375" style="1075" bestFit="1" customWidth="1"/>
    <col min="8977" max="8991" width="0" style="1075" hidden="1" customWidth="1"/>
    <col min="8992" max="9220" width="9.140625" style="1075"/>
    <col min="9221" max="9221" width="16" style="1075" bestFit="1" customWidth="1"/>
    <col min="9222" max="9225" width="9.140625" style="1075"/>
    <col min="9226" max="9230" width="0" style="1075" hidden="1" customWidth="1"/>
    <col min="9231" max="9231" width="9.140625" style="1075"/>
    <col min="9232" max="9232" width="19.7109375" style="1075" bestFit="1" customWidth="1"/>
    <col min="9233" max="9247" width="0" style="1075" hidden="1" customWidth="1"/>
    <col min="9248" max="9476" width="9.140625" style="1075"/>
    <col min="9477" max="9477" width="16" style="1075" bestFit="1" customWidth="1"/>
    <col min="9478" max="9481" width="9.140625" style="1075"/>
    <col min="9482" max="9486" width="0" style="1075" hidden="1" customWidth="1"/>
    <col min="9487" max="9487" width="9.140625" style="1075"/>
    <col min="9488" max="9488" width="19.7109375" style="1075" bestFit="1" customWidth="1"/>
    <col min="9489" max="9503" width="0" style="1075" hidden="1" customWidth="1"/>
    <col min="9504" max="9732" width="9.140625" style="1075"/>
    <col min="9733" max="9733" width="16" style="1075" bestFit="1" customWidth="1"/>
    <col min="9734" max="9737" width="9.140625" style="1075"/>
    <col min="9738" max="9742" width="0" style="1075" hidden="1" customWidth="1"/>
    <col min="9743" max="9743" width="9.140625" style="1075"/>
    <col min="9744" max="9744" width="19.7109375" style="1075" bestFit="1" customWidth="1"/>
    <col min="9745" max="9759" width="0" style="1075" hidden="1" customWidth="1"/>
    <col min="9760" max="9988" width="9.140625" style="1075"/>
    <col min="9989" max="9989" width="16" style="1075" bestFit="1" customWidth="1"/>
    <col min="9990" max="9993" width="9.140625" style="1075"/>
    <col min="9994" max="9998" width="0" style="1075" hidden="1" customWidth="1"/>
    <col min="9999" max="9999" width="9.140625" style="1075"/>
    <col min="10000" max="10000" width="19.7109375" style="1075" bestFit="1" customWidth="1"/>
    <col min="10001" max="10015" width="0" style="1075" hidden="1" customWidth="1"/>
    <col min="10016" max="10244" width="9.140625" style="1075"/>
    <col min="10245" max="10245" width="16" style="1075" bestFit="1" customWidth="1"/>
    <col min="10246" max="10249" width="9.140625" style="1075"/>
    <col min="10250" max="10254" width="0" style="1075" hidden="1" customWidth="1"/>
    <col min="10255" max="10255" width="9.140625" style="1075"/>
    <col min="10256" max="10256" width="19.7109375" style="1075" bestFit="1" customWidth="1"/>
    <col min="10257" max="10271" width="0" style="1075" hidden="1" customWidth="1"/>
    <col min="10272" max="10500" width="9.140625" style="1075"/>
    <col min="10501" max="10501" width="16" style="1075" bestFit="1" customWidth="1"/>
    <col min="10502" max="10505" width="9.140625" style="1075"/>
    <col min="10506" max="10510" width="0" style="1075" hidden="1" customWidth="1"/>
    <col min="10511" max="10511" width="9.140625" style="1075"/>
    <col min="10512" max="10512" width="19.7109375" style="1075" bestFit="1" customWidth="1"/>
    <col min="10513" max="10527" width="0" style="1075" hidden="1" customWidth="1"/>
    <col min="10528" max="10756" width="9.140625" style="1075"/>
    <col min="10757" max="10757" width="16" style="1075" bestFit="1" customWidth="1"/>
    <col min="10758" max="10761" width="9.140625" style="1075"/>
    <col min="10762" max="10766" width="0" style="1075" hidden="1" customWidth="1"/>
    <col min="10767" max="10767" width="9.140625" style="1075"/>
    <col min="10768" max="10768" width="19.7109375" style="1075" bestFit="1" customWidth="1"/>
    <col min="10769" max="10783" width="0" style="1075" hidden="1" customWidth="1"/>
    <col min="10784" max="11012" width="9.140625" style="1075"/>
    <col min="11013" max="11013" width="16" style="1075" bestFit="1" customWidth="1"/>
    <col min="11014" max="11017" width="9.140625" style="1075"/>
    <col min="11018" max="11022" width="0" style="1075" hidden="1" customWidth="1"/>
    <col min="11023" max="11023" width="9.140625" style="1075"/>
    <col min="11024" max="11024" width="19.7109375" style="1075" bestFit="1" customWidth="1"/>
    <col min="11025" max="11039" width="0" style="1075" hidden="1" customWidth="1"/>
    <col min="11040" max="11268" width="9.140625" style="1075"/>
    <col min="11269" max="11269" width="16" style="1075" bestFit="1" customWidth="1"/>
    <col min="11270" max="11273" width="9.140625" style="1075"/>
    <col min="11274" max="11278" width="0" style="1075" hidden="1" customWidth="1"/>
    <col min="11279" max="11279" width="9.140625" style="1075"/>
    <col min="11280" max="11280" width="19.7109375" style="1075" bestFit="1" customWidth="1"/>
    <col min="11281" max="11295" width="0" style="1075" hidden="1" customWidth="1"/>
    <col min="11296" max="11524" width="9.140625" style="1075"/>
    <col min="11525" max="11525" width="16" style="1075" bestFit="1" customWidth="1"/>
    <col min="11526" max="11529" width="9.140625" style="1075"/>
    <col min="11530" max="11534" width="0" style="1075" hidden="1" customWidth="1"/>
    <col min="11535" max="11535" width="9.140625" style="1075"/>
    <col min="11536" max="11536" width="19.7109375" style="1075" bestFit="1" customWidth="1"/>
    <col min="11537" max="11551" width="0" style="1075" hidden="1" customWidth="1"/>
    <col min="11552" max="11780" width="9.140625" style="1075"/>
    <col min="11781" max="11781" width="16" style="1075" bestFit="1" customWidth="1"/>
    <col min="11782" max="11785" width="9.140625" style="1075"/>
    <col min="11786" max="11790" width="0" style="1075" hidden="1" customWidth="1"/>
    <col min="11791" max="11791" width="9.140625" style="1075"/>
    <col min="11792" max="11792" width="19.7109375" style="1075" bestFit="1" customWidth="1"/>
    <col min="11793" max="11807" width="0" style="1075" hidden="1" customWidth="1"/>
    <col min="11808" max="12036" width="9.140625" style="1075"/>
    <col min="12037" max="12037" width="16" style="1075" bestFit="1" customWidth="1"/>
    <col min="12038" max="12041" width="9.140625" style="1075"/>
    <col min="12042" max="12046" width="0" style="1075" hidden="1" customWidth="1"/>
    <col min="12047" max="12047" width="9.140625" style="1075"/>
    <col min="12048" max="12048" width="19.7109375" style="1075" bestFit="1" customWidth="1"/>
    <col min="12049" max="12063" width="0" style="1075" hidden="1" customWidth="1"/>
    <col min="12064" max="12292" width="9.140625" style="1075"/>
    <col min="12293" max="12293" width="16" style="1075" bestFit="1" customWidth="1"/>
    <col min="12294" max="12297" width="9.140625" style="1075"/>
    <col min="12298" max="12302" width="0" style="1075" hidden="1" customWidth="1"/>
    <col min="12303" max="12303" width="9.140625" style="1075"/>
    <col min="12304" max="12304" width="19.7109375" style="1075" bestFit="1" customWidth="1"/>
    <col min="12305" max="12319" width="0" style="1075" hidden="1" customWidth="1"/>
    <col min="12320" max="12548" width="9.140625" style="1075"/>
    <col min="12549" max="12549" width="16" style="1075" bestFit="1" customWidth="1"/>
    <col min="12550" max="12553" width="9.140625" style="1075"/>
    <col min="12554" max="12558" width="0" style="1075" hidden="1" customWidth="1"/>
    <col min="12559" max="12559" width="9.140625" style="1075"/>
    <col min="12560" max="12560" width="19.7109375" style="1075" bestFit="1" customWidth="1"/>
    <col min="12561" max="12575" width="0" style="1075" hidden="1" customWidth="1"/>
    <col min="12576" max="12804" width="9.140625" style="1075"/>
    <col min="12805" max="12805" width="16" style="1075" bestFit="1" customWidth="1"/>
    <col min="12806" max="12809" width="9.140625" style="1075"/>
    <col min="12810" max="12814" width="0" style="1075" hidden="1" customWidth="1"/>
    <col min="12815" max="12815" width="9.140625" style="1075"/>
    <col min="12816" max="12816" width="19.7109375" style="1075" bestFit="1" customWidth="1"/>
    <col min="12817" max="12831" width="0" style="1075" hidden="1" customWidth="1"/>
    <col min="12832" max="13060" width="9.140625" style="1075"/>
    <col min="13061" max="13061" width="16" style="1075" bestFit="1" customWidth="1"/>
    <col min="13062" max="13065" width="9.140625" style="1075"/>
    <col min="13066" max="13070" width="0" style="1075" hidden="1" customWidth="1"/>
    <col min="13071" max="13071" width="9.140625" style="1075"/>
    <col min="13072" max="13072" width="19.7109375" style="1075" bestFit="1" customWidth="1"/>
    <col min="13073" max="13087" width="0" style="1075" hidden="1" customWidth="1"/>
    <col min="13088" max="13316" width="9.140625" style="1075"/>
    <col min="13317" max="13317" width="16" style="1075" bestFit="1" customWidth="1"/>
    <col min="13318" max="13321" width="9.140625" style="1075"/>
    <col min="13322" max="13326" width="0" style="1075" hidden="1" customWidth="1"/>
    <col min="13327" max="13327" width="9.140625" style="1075"/>
    <col min="13328" max="13328" width="19.7109375" style="1075" bestFit="1" customWidth="1"/>
    <col min="13329" max="13343" width="0" style="1075" hidden="1" customWidth="1"/>
    <col min="13344" max="13572" width="9.140625" style="1075"/>
    <col min="13573" max="13573" width="16" style="1075" bestFit="1" customWidth="1"/>
    <col min="13574" max="13577" width="9.140625" style="1075"/>
    <col min="13578" max="13582" width="0" style="1075" hidden="1" customWidth="1"/>
    <col min="13583" max="13583" width="9.140625" style="1075"/>
    <col min="13584" max="13584" width="19.7109375" style="1075" bestFit="1" customWidth="1"/>
    <col min="13585" max="13599" width="0" style="1075" hidden="1" customWidth="1"/>
    <col min="13600" max="13828" width="9.140625" style="1075"/>
    <col min="13829" max="13829" width="16" style="1075" bestFit="1" customWidth="1"/>
    <col min="13830" max="13833" width="9.140625" style="1075"/>
    <col min="13834" max="13838" width="0" style="1075" hidden="1" customWidth="1"/>
    <col min="13839" max="13839" width="9.140625" style="1075"/>
    <col min="13840" max="13840" width="19.7109375" style="1075" bestFit="1" customWidth="1"/>
    <col min="13841" max="13855" width="0" style="1075" hidden="1" customWidth="1"/>
    <col min="13856" max="14084" width="9.140625" style="1075"/>
    <col min="14085" max="14085" width="16" style="1075" bestFit="1" customWidth="1"/>
    <col min="14086" max="14089" width="9.140625" style="1075"/>
    <col min="14090" max="14094" width="0" style="1075" hidden="1" customWidth="1"/>
    <col min="14095" max="14095" width="9.140625" style="1075"/>
    <col min="14096" max="14096" width="19.7109375" style="1075" bestFit="1" customWidth="1"/>
    <col min="14097" max="14111" width="0" style="1075" hidden="1" customWidth="1"/>
    <col min="14112" max="14340" width="9.140625" style="1075"/>
    <col min="14341" max="14341" width="16" style="1075" bestFit="1" customWidth="1"/>
    <col min="14342" max="14345" width="9.140625" style="1075"/>
    <col min="14346" max="14350" width="0" style="1075" hidden="1" customWidth="1"/>
    <col min="14351" max="14351" width="9.140625" style="1075"/>
    <col min="14352" max="14352" width="19.7109375" style="1075" bestFit="1" customWidth="1"/>
    <col min="14353" max="14367" width="0" style="1075" hidden="1" customWidth="1"/>
    <col min="14368" max="14596" width="9.140625" style="1075"/>
    <col min="14597" max="14597" width="16" style="1075" bestFit="1" customWidth="1"/>
    <col min="14598" max="14601" width="9.140625" style="1075"/>
    <col min="14602" max="14606" width="0" style="1075" hidden="1" customWidth="1"/>
    <col min="14607" max="14607" width="9.140625" style="1075"/>
    <col min="14608" max="14608" width="19.7109375" style="1075" bestFit="1" customWidth="1"/>
    <col min="14609" max="14623" width="0" style="1075" hidden="1" customWidth="1"/>
    <col min="14624" max="14852" width="9.140625" style="1075"/>
    <col min="14853" max="14853" width="16" style="1075" bestFit="1" customWidth="1"/>
    <col min="14854" max="14857" width="9.140625" style="1075"/>
    <col min="14858" max="14862" width="0" style="1075" hidden="1" customWidth="1"/>
    <col min="14863" max="14863" width="9.140625" style="1075"/>
    <col min="14864" max="14864" width="19.7109375" style="1075" bestFit="1" customWidth="1"/>
    <col min="14865" max="14879" width="0" style="1075" hidden="1" customWidth="1"/>
    <col min="14880" max="15108" width="9.140625" style="1075"/>
    <col min="15109" max="15109" width="16" style="1075" bestFit="1" customWidth="1"/>
    <col min="15110" max="15113" width="9.140625" style="1075"/>
    <col min="15114" max="15118" width="0" style="1075" hidden="1" customWidth="1"/>
    <col min="15119" max="15119" width="9.140625" style="1075"/>
    <col min="15120" max="15120" width="19.7109375" style="1075" bestFit="1" customWidth="1"/>
    <col min="15121" max="15135" width="0" style="1075" hidden="1" customWidth="1"/>
    <col min="15136" max="15364" width="9.140625" style="1075"/>
    <col min="15365" max="15365" width="16" style="1075" bestFit="1" customWidth="1"/>
    <col min="15366" max="15369" width="9.140625" style="1075"/>
    <col min="15370" max="15374" width="0" style="1075" hidden="1" customWidth="1"/>
    <col min="15375" max="15375" width="9.140625" style="1075"/>
    <col min="15376" max="15376" width="19.7109375" style="1075" bestFit="1" customWidth="1"/>
    <col min="15377" max="15391" width="0" style="1075" hidden="1" customWidth="1"/>
    <col min="15392" max="15620" width="9.140625" style="1075"/>
    <col min="15621" max="15621" width="16" style="1075" bestFit="1" customWidth="1"/>
    <col min="15622" max="15625" width="9.140625" style="1075"/>
    <col min="15626" max="15630" width="0" style="1075" hidden="1" customWidth="1"/>
    <col min="15631" max="15631" width="9.140625" style="1075"/>
    <col min="15632" max="15632" width="19.7109375" style="1075" bestFit="1" customWidth="1"/>
    <col min="15633" max="15647" width="0" style="1075" hidden="1" customWidth="1"/>
    <col min="15648" max="15876" width="9.140625" style="1075"/>
    <col min="15877" max="15877" width="16" style="1075" bestFit="1" customWidth="1"/>
    <col min="15878" max="15881" width="9.140625" style="1075"/>
    <col min="15882" max="15886" width="0" style="1075" hidden="1" customWidth="1"/>
    <col min="15887" max="15887" width="9.140625" style="1075"/>
    <col min="15888" max="15888" width="19.7109375" style="1075" bestFit="1" customWidth="1"/>
    <col min="15889" max="15903" width="0" style="1075" hidden="1" customWidth="1"/>
    <col min="15904" max="16132" width="9.140625" style="1075"/>
    <col min="16133" max="16133" width="16" style="1075" bestFit="1" customWidth="1"/>
    <col min="16134" max="16137" width="9.140625" style="1075"/>
    <col min="16138" max="16142" width="0" style="1075" hidden="1" customWidth="1"/>
    <col min="16143" max="16143" width="9.140625" style="1075"/>
    <col min="16144" max="16144" width="19.7109375" style="1075" bestFit="1" customWidth="1"/>
    <col min="16145" max="16159" width="0" style="1075" hidden="1" customWidth="1"/>
    <col min="16160" max="16384" width="9.140625" style="1075"/>
  </cols>
  <sheetData>
    <row r="1" spans="1:44" x14ac:dyDescent="0.2">
      <c r="A1" s="1090" t="s">
        <v>2079</v>
      </c>
      <c r="B1" s="1090" t="s">
        <v>2080</v>
      </c>
      <c r="C1" s="1090" t="s">
        <v>2081</v>
      </c>
      <c r="D1" s="1090" t="s">
        <v>2082</v>
      </c>
      <c r="E1" s="1090" t="s">
        <v>2083</v>
      </c>
      <c r="F1" s="1090" t="s">
        <v>919</v>
      </c>
      <c r="G1" s="1090" t="s">
        <v>2084</v>
      </c>
      <c r="H1" s="1090" t="s">
        <v>2085</v>
      </c>
      <c r="I1" s="1090" t="s">
        <v>2086</v>
      </c>
      <c r="J1" s="1090" t="s">
        <v>2087</v>
      </c>
      <c r="K1" s="1090" t="s">
        <v>2088</v>
      </c>
      <c r="L1" s="1090" t="s">
        <v>2089</v>
      </c>
      <c r="M1" s="1090" t="s">
        <v>920</v>
      </c>
      <c r="N1" s="1090" t="s">
        <v>1409</v>
      </c>
      <c r="O1" s="1098" t="s">
        <v>2383</v>
      </c>
      <c r="P1" s="1090" t="s">
        <v>2090</v>
      </c>
      <c r="Q1" s="1090" t="s">
        <v>2439</v>
      </c>
      <c r="R1" s="1090" t="s">
        <v>2092</v>
      </c>
      <c r="S1" s="1090" t="s">
        <v>2093</v>
      </c>
      <c r="T1" s="1090" t="s">
        <v>2094</v>
      </c>
      <c r="U1" s="1090" t="s">
        <v>2095</v>
      </c>
      <c r="V1" s="1090" t="s">
        <v>2096</v>
      </c>
      <c r="W1" s="1090" t="s">
        <v>2097</v>
      </c>
      <c r="X1" s="1090" t="s">
        <v>2098</v>
      </c>
      <c r="Y1" s="1090" t="s">
        <v>2099</v>
      </c>
      <c r="Z1" s="1090" t="s">
        <v>2100</v>
      </c>
      <c r="AA1" s="1090" t="s">
        <v>2101</v>
      </c>
      <c r="AB1" s="1090" t="s">
        <v>2102</v>
      </c>
      <c r="AC1" s="1090" t="s">
        <v>2103</v>
      </c>
      <c r="AD1" s="1090" t="s">
        <v>2104</v>
      </c>
      <c r="AE1" s="1090" t="s">
        <v>2105</v>
      </c>
      <c r="AF1" s="1090"/>
      <c r="AG1" s="1099" t="s">
        <v>2440</v>
      </c>
      <c r="AH1" s="1090" t="s">
        <v>2769</v>
      </c>
      <c r="AI1" s="1090" t="s">
        <v>2066</v>
      </c>
      <c r="AJ1" s="1098" t="s">
        <v>1412</v>
      </c>
      <c r="AK1" s="1090" t="s">
        <v>112</v>
      </c>
      <c r="AL1" s="1108" t="s">
        <v>1414</v>
      </c>
      <c r="AM1" s="1090" t="s">
        <v>113</v>
      </c>
      <c r="AN1" s="1100" t="s">
        <v>2786</v>
      </c>
      <c r="AO1" s="1101" t="s">
        <v>2052</v>
      </c>
    </row>
    <row r="2" spans="1:44" outlineLevel="2" x14ac:dyDescent="0.2">
      <c r="A2" s="1075">
        <v>506</v>
      </c>
      <c r="B2" s="1076">
        <v>5223585</v>
      </c>
      <c r="C2" s="1075">
        <v>52235850</v>
      </c>
      <c r="D2" s="1075" t="s">
        <v>1419</v>
      </c>
      <c r="E2" s="1075" t="s">
        <v>2250</v>
      </c>
      <c r="F2" s="1075">
        <v>611100</v>
      </c>
      <c r="G2" s="1075" t="s">
        <v>2107</v>
      </c>
      <c r="H2" s="1075">
        <v>90534</v>
      </c>
      <c r="I2" s="1075">
        <v>0</v>
      </c>
      <c r="J2" s="1075">
        <v>18</v>
      </c>
      <c r="K2" s="1075">
        <v>6</v>
      </c>
      <c r="L2" s="1075">
        <v>0</v>
      </c>
      <c r="M2" s="1075" t="s">
        <v>927</v>
      </c>
      <c r="N2" s="1075" t="s">
        <v>927</v>
      </c>
      <c r="O2" s="1077">
        <f>P2/100</f>
        <v>1</v>
      </c>
      <c r="P2" s="1075">
        <v>100</v>
      </c>
      <c r="Q2" s="1074">
        <v>59041.14</v>
      </c>
      <c r="R2" s="1074">
        <v>8667.35</v>
      </c>
      <c r="S2" s="1074">
        <v>3007.94</v>
      </c>
      <c r="T2" s="1074">
        <v>43844.05</v>
      </c>
      <c r="U2" s="1074">
        <v>1330</v>
      </c>
      <c r="V2" s="1074">
        <v>371.15</v>
      </c>
      <c r="W2" s="1074">
        <v>0</v>
      </c>
      <c r="X2" s="1074">
        <v>4441.7</v>
      </c>
      <c r="Y2" s="1074">
        <v>550</v>
      </c>
      <c r="Z2" s="1074">
        <v>0</v>
      </c>
      <c r="AA2" s="1074">
        <v>37151.199999999997</v>
      </c>
      <c r="AB2" s="1074">
        <v>3521.8</v>
      </c>
      <c r="AC2" s="1074">
        <v>0</v>
      </c>
      <c r="AD2" s="1074">
        <v>0</v>
      </c>
      <c r="AE2" s="1074">
        <v>1611100</v>
      </c>
      <c r="AF2" s="1074" t="s">
        <v>251</v>
      </c>
      <c r="AG2" s="1095">
        <f>VLOOKUP(B2,עזר!A$2:B$329,2,FALSE)</f>
        <v>558053.28</v>
      </c>
      <c r="AH2" s="1074">
        <f>Q2*3</f>
        <v>177123.41999999998</v>
      </c>
      <c r="AI2" s="1074">
        <f>AH2+AG2</f>
        <v>735176.7</v>
      </c>
      <c r="AJ2" s="1077">
        <f>VLOOKUP(B2,Sheet1!D$2:K$430,7,FALSE)</f>
        <v>1</v>
      </c>
      <c r="AK2" s="1074">
        <f>VLOOKUP(B2,Sheet1!D$2:L$430,8,FALSE)</f>
        <v>770000</v>
      </c>
      <c r="AL2" s="1109">
        <f>O2</f>
        <v>1</v>
      </c>
      <c r="AM2" s="1074">
        <f>AI2*1.01</f>
        <v>742528.46699999995</v>
      </c>
      <c r="AN2" s="1085">
        <f>AL2</f>
        <v>1</v>
      </c>
      <c r="AO2" s="1074">
        <f>AM2</f>
        <v>742528.46699999995</v>
      </c>
      <c r="AP2" s="1080"/>
    </row>
    <row r="3" spans="1:44" outlineLevel="1" x14ac:dyDescent="0.2">
      <c r="B3" s="1076"/>
      <c r="F3" s="1088" t="s">
        <v>3073</v>
      </c>
      <c r="O3" s="1077">
        <f>SUBTOTAL(9,O2:O2)</f>
        <v>1</v>
      </c>
      <c r="Q3" s="1074">
        <f>SUBTOTAL(9,Q2:Q2)</f>
        <v>59041.14</v>
      </c>
      <c r="R3" s="1074"/>
      <c r="S3" s="1074"/>
      <c r="T3" s="1074"/>
      <c r="U3" s="1074"/>
      <c r="V3" s="1074"/>
      <c r="W3" s="1074"/>
      <c r="X3" s="1074"/>
      <c r="Y3" s="1074"/>
      <c r="Z3" s="1074"/>
      <c r="AA3" s="1074"/>
      <c r="AB3" s="1074"/>
      <c r="AC3" s="1074"/>
      <c r="AD3" s="1074"/>
      <c r="AE3" s="1074"/>
      <c r="AF3" s="1074"/>
      <c r="AG3" s="1095">
        <f t="shared" ref="AG3:AM3" si="0">SUBTOTAL(9,AG2:AG2)</f>
        <v>558053.28</v>
      </c>
      <c r="AH3" s="1074">
        <f t="shared" si="0"/>
        <v>177123.41999999998</v>
      </c>
      <c r="AI3" s="1074">
        <f t="shared" si="0"/>
        <v>735176.7</v>
      </c>
      <c r="AJ3" s="1077">
        <f t="shared" si="0"/>
        <v>1</v>
      </c>
      <c r="AK3" s="1074">
        <f t="shared" si="0"/>
        <v>770000</v>
      </c>
      <c r="AL3" s="1109">
        <f t="shared" si="0"/>
        <v>1</v>
      </c>
      <c r="AM3" s="1074">
        <f t="shared" si="0"/>
        <v>742528.46699999995</v>
      </c>
      <c r="AP3" s="1080">
        <f>SUBTOTAL(9,AP2:AP2)</f>
        <v>0</v>
      </c>
    </row>
    <row r="4" spans="1:44" outlineLevel="2" x14ac:dyDescent="0.2">
      <c r="A4" s="1075">
        <v>506</v>
      </c>
      <c r="B4" s="1078">
        <v>2332857</v>
      </c>
      <c r="C4" s="1075">
        <v>23328578</v>
      </c>
      <c r="D4" s="1075" t="s">
        <v>2138</v>
      </c>
      <c r="E4" s="1075" t="s">
        <v>2251</v>
      </c>
      <c r="F4" s="1075">
        <v>611200</v>
      </c>
      <c r="G4" s="1075" t="s">
        <v>2107</v>
      </c>
      <c r="H4" s="1075">
        <v>90534</v>
      </c>
      <c r="I4" s="1075">
        <v>0</v>
      </c>
      <c r="J4" s="1075">
        <v>5</v>
      </c>
      <c r="K4" s="1075">
        <v>10</v>
      </c>
      <c r="L4" s="1075">
        <v>0</v>
      </c>
      <c r="M4" s="1075" t="s">
        <v>2770</v>
      </c>
      <c r="N4" s="1075" t="s">
        <v>931</v>
      </c>
      <c r="O4" s="1077">
        <f>P4/100</f>
        <v>1</v>
      </c>
      <c r="P4" s="1075">
        <v>100</v>
      </c>
      <c r="Q4" s="1074">
        <v>10400.76</v>
      </c>
      <c r="R4" s="1074">
        <v>772.7</v>
      </c>
      <c r="S4" s="1074">
        <v>412.38</v>
      </c>
      <c r="T4" s="1074">
        <v>8568.23</v>
      </c>
      <c r="U4" s="1074">
        <v>0</v>
      </c>
      <c r="V4" s="1074">
        <v>0</v>
      </c>
      <c r="W4" s="1074">
        <v>0</v>
      </c>
      <c r="X4" s="1074">
        <v>1034.9000000000001</v>
      </c>
      <c r="Y4" s="1074">
        <v>261.60000000000002</v>
      </c>
      <c r="Z4" s="1074">
        <v>238.95</v>
      </c>
      <c r="AA4" s="1074">
        <v>7032.78</v>
      </c>
      <c r="AB4" s="1074">
        <v>647.45000000000005</v>
      </c>
      <c r="AC4" s="1074">
        <v>0</v>
      </c>
      <c r="AD4" s="1074">
        <v>0</v>
      </c>
      <c r="AE4" s="1074">
        <v>1611200</v>
      </c>
      <c r="AF4" s="1074" t="s">
        <v>251</v>
      </c>
      <c r="AG4" s="1095">
        <f>VLOOKUP(B4,עזר!A$2:B$329,2,FALSE)</f>
        <v>112348.06</v>
      </c>
      <c r="AH4" s="1074">
        <f>Q4*3</f>
        <v>31202.28</v>
      </c>
      <c r="AI4" s="1074">
        <f>AH4+AG4</f>
        <v>143550.34</v>
      </c>
      <c r="AJ4" s="1077">
        <f>VLOOKUP(B4,Sheet1!D$2:K$430,7,FALSE)</f>
        <v>1</v>
      </c>
      <c r="AK4" s="1074">
        <f>VLOOKUP(B4,Sheet1!D$2:L$430,8,FALSE)</f>
        <v>147000</v>
      </c>
      <c r="AL4" s="1109">
        <f>O4</f>
        <v>1</v>
      </c>
      <c r="AM4" s="1074">
        <f>AI4*1.02</f>
        <v>146421.3468</v>
      </c>
      <c r="AN4" s="1085">
        <f>AL4</f>
        <v>1</v>
      </c>
      <c r="AO4" s="1074">
        <f>AM4</f>
        <v>146421.3468</v>
      </c>
      <c r="AP4" s="1080"/>
    </row>
    <row r="5" spans="1:44" outlineLevel="1" x14ac:dyDescent="0.2">
      <c r="B5" s="1078"/>
      <c r="F5" s="1088" t="s">
        <v>3074</v>
      </c>
      <c r="O5" s="1077">
        <f>SUBTOTAL(9,O4:O4)</f>
        <v>1</v>
      </c>
      <c r="Q5" s="1074">
        <f>SUBTOTAL(9,Q4:Q4)</f>
        <v>10400.76</v>
      </c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95">
        <f t="shared" ref="AG5:AM5" si="1">SUBTOTAL(9,AG4:AG4)</f>
        <v>112348.06</v>
      </c>
      <c r="AH5" s="1074">
        <f t="shared" si="1"/>
        <v>31202.28</v>
      </c>
      <c r="AI5" s="1074">
        <f t="shared" si="1"/>
        <v>143550.34</v>
      </c>
      <c r="AJ5" s="1077">
        <f t="shared" si="1"/>
        <v>1</v>
      </c>
      <c r="AK5" s="1074">
        <f t="shared" si="1"/>
        <v>147000</v>
      </c>
      <c r="AL5" s="1109">
        <f t="shared" si="1"/>
        <v>1</v>
      </c>
      <c r="AM5" s="1074">
        <f t="shared" si="1"/>
        <v>146421.3468</v>
      </c>
      <c r="AP5" s="1080">
        <f>SUBTOTAL(9,AP4:AP4)</f>
        <v>0</v>
      </c>
    </row>
    <row r="6" spans="1:44" outlineLevel="2" x14ac:dyDescent="0.2">
      <c r="A6" s="1075">
        <v>506</v>
      </c>
      <c r="B6" s="1078">
        <v>2478159</v>
      </c>
      <c r="C6" s="1075">
        <v>24781593</v>
      </c>
      <c r="D6" s="1075" t="s">
        <v>932</v>
      </c>
      <c r="E6" s="1075" t="s">
        <v>2252</v>
      </c>
      <c r="F6" s="1075">
        <v>612000</v>
      </c>
      <c r="G6" s="1075" t="s">
        <v>2107</v>
      </c>
      <c r="H6" s="1075">
        <v>90534</v>
      </c>
      <c r="I6" s="1075">
        <v>0</v>
      </c>
      <c r="J6" s="1075">
        <v>39</v>
      </c>
      <c r="K6" s="1075">
        <v>3</v>
      </c>
      <c r="L6" s="1075">
        <v>0</v>
      </c>
      <c r="M6" s="1075" t="s">
        <v>935</v>
      </c>
      <c r="N6" s="1075" t="s">
        <v>935</v>
      </c>
      <c r="O6" s="1077">
        <f>P6/100</f>
        <v>0.5</v>
      </c>
      <c r="P6" s="1075">
        <v>50</v>
      </c>
      <c r="Q6" s="1074">
        <v>16728.48</v>
      </c>
      <c r="R6" s="1074">
        <v>2396.25</v>
      </c>
      <c r="S6" s="1074">
        <v>721.83</v>
      </c>
      <c r="T6" s="1074">
        <v>12653.5</v>
      </c>
      <c r="U6" s="1074">
        <v>428</v>
      </c>
      <c r="V6" s="1074">
        <v>0</v>
      </c>
      <c r="W6" s="1074">
        <v>0</v>
      </c>
      <c r="X6" s="1074">
        <v>658.1</v>
      </c>
      <c r="Y6" s="1074">
        <v>156.6</v>
      </c>
      <c r="Z6" s="1074">
        <v>0</v>
      </c>
      <c r="AA6" s="1074">
        <v>11410.8</v>
      </c>
      <c r="AB6" s="1074">
        <v>956.9</v>
      </c>
      <c r="AC6" s="1074">
        <v>0</v>
      </c>
      <c r="AD6" s="1074">
        <v>0</v>
      </c>
      <c r="AE6" s="1074">
        <v>1612000</v>
      </c>
      <c r="AF6" s="1074" t="s">
        <v>251</v>
      </c>
      <c r="AG6" s="1095">
        <f>VLOOKUP(B6,עזר!A$2:B$329,2,FALSE)</f>
        <v>166031.94</v>
      </c>
      <c r="AH6" s="1074">
        <f>Q6*3</f>
        <v>50185.440000000002</v>
      </c>
      <c r="AI6" s="1074">
        <f>AH6+AG6</f>
        <v>216217.38</v>
      </c>
      <c r="AJ6" s="1077">
        <f>VLOOKUP(B6,Sheet1!D$2:K$430,7,FALSE)</f>
        <v>1</v>
      </c>
      <c r="AK6" s="1074">
        <f>VLOOKUP(B6,Sheet1!D$2:L$430,8,FALSE)</f>
        <v>289166.66666666669</v>
      </c>
      <c r="AL6" s="1109">
        <v>1</v>
      </c>
      <c r="AM6" s="1074">
        <v>360000</v>
      </c>
      <c r="AN6" s="1085">
        <f>AL6</f>
        <v>1</v>
      </c>
      <c r="AO6" s="1074">
        <v>390000</v>
      </c>
      <c r="AP6" s="1080"/>
    </row>
    <row r="7" spans="1:44" outlineLevel="1" x14ac:dyDescent="0.2">
      <c r="B7" s="1078"/>
      <c r="F7" s="1088" t="s">
        <v>3075</v>
      </c>
      <c r="O7" s="1077">
        <f>SUBTOTAL(9,O6:O6)</f>
        <v>0.5</v>
      </c>
      <c r="Q7" s="1074">
        <f>SUBTOTAL(9,Q6:Q6)</f>
        <v>16728.48</v>
      </c>
      <c r="R7" s="1074"/>
      <c r="S7" s="1074"/>
      <c r="T7" s="1074"/>
      <c r="U7" s="1074"/>
      <c r="V7" s="1074"/>
      <c r="W7" s="1074"/>
      <c r="X7" s="1074"/>
      <c r="Y7" s="1074"/>
      <c r="Z7" s="1074"/>
      <c r="AA7" s="1074"/>
      <c r="AB7" s="1074"/>
      <c r="AC7" s="1074"/>
      <c r="AD7" s="1074"/>
      <c r="AE7" s="1074"/>
      <c r="AF7" s="1074"/>
      <c r="AG7" s="1095">
        <f t="shared" ref="AG7:AM7" si="2">SUBTOTAL(9,AG6:AG6)</f>
        <v>166031.94</v>
      </c>
      <c r="AH7" s="1074">
        <f t="shared" si="2"/>
        <v>50185.440000000002</v>
      </c>
      <c r="AI7" s="1074">
        <f t="shared" si="2"/>
        <v>216217.38</v>
      </c>
      <c r="AJ7" s="1077">
        <f t="shared" si="2"/>
        <v>1</v>
      </c>
      <c r="AK7" s="1074">
        <f t="shared" si="2"/>
        <v>289166.66666666669</v>
      </c>
      <c r="AL7" s="1109">
        <f t="shared" si="2"/>
        <v>1</v>
      </c>
      <c r="AM7" s="1074">
        <f t="shared" si="2"/>
        <v>360000</v>
      </c>
      <c r="AP7" s="1080">
        <f>SUBTOTAL(9,AP6:AP6)</f>
        <v>0</v>
      </c>
    </row>
    <row r="8" spans="1:44" outlineLevel="2" x14ac:dyDescent="0.2">
      <c r="A8" s="1075">
        <v>506</v>
      </c>
      <c r="B8" s="1078">
        <v>2910356</v>
      </c>
      <c r="C8" s="1075">
        <v>29103561</v>
      </c>
      <c r="D8" s="1075" t="s">
        <v>2157</v>
      </c>
      <c r="E8" s="1075" t="s">
        <v>2246</v>
      </c>
      <c r="F8" s="1075">
        <v>613000</v>
      </c>
      <c r="G8" s="1075" t="s">
        <v>2107</v>
      </c>
      <c r="H8" s="1075">
        <v>90534</v>
      </c>
      <c r="I8" s="1075">
        <v>0</v>
      </c>
      <c r="J8" s="1075">
        <v>5</v>
      </c>
      <c r="K8" s="1075">
        <v>8</v>
      </c>
      <c r="L8" s="1075">
        <v>0</v>
      </c>
      <c r="M8" s="1075" t="s">
        <v>1330</v>
      </c>
      <c r="N8" s="1075" t="s">
        <v>931</v>
      </c>
      <c r="O8" s="1077">
        <f>P8/100</f>
        <v>1</v>
      </c>
      <c r="P8" s="1075">
        <v>100</v>
      </c>
      <c r="Q8" s="1074">
        <v>7488.53</v>
      </c>
      <c r="R8" s="1074">
        <v>1094.3499999999999</v>
      </c>
      <c r="S8" s="1074">
        <v>198.83</v>
      </c>
      <c r="T8" s="1074">
        <v>5763.1</v>
      </c>
      <c r="U8" s="1074">
        <v>0</v>
      </c>
      <c r="V8" s="1074">
        <v>0</v>
      </c>
      <c r="W8" s="1074">
        <v>0</v>
      </c>
      <c r="X8" s="1074">
        <v>0</v>
      </c>
      <c r="Y8" s="1074">
        <v>203.5</v>
      </c>
      <c r="Z8" s="1074">
        <v>0</v>
      </c>
      <c r="AA8" s="1074">
        <v>5559.6</v>
      </c>
      <c r="AB8" s="1074">
        <v>432.25</v>
      </c>
      <c r="AC8" s="1074">
        <v>0</v>
      </c>
      <c r="AD8" s="1074">
        <v>0</v>
      </c>
      <c r="AE8" s="1074">
        <v>1613000</v>
      </c>
      <c r="AF8" s="1074" t="s">
        <v>251</v>
      </c>
      <c r="AG8" s="1095">
        <f>VLOOKUP(B8,עזר!A$2:B$329,2,FALSE)</f>
        <v>76589.77</v>
      </c>
      <c r="AH8" s="1074">
        <f>Q8*3</f>
        <v>22465.59</v>
      </c>
      <c r="AI8" s="1074">
        <f>AH8+AG8</f>
        <v>99055.360000000001</v>
      </c>
      <c r="AJ8" s="1077">
        <f>VLOOKUP(B8,Sheet1!D$2:K$430,7,FALSE)</f>
        <v>1</v>
      </c>
      <c r="AK8" s="1074">
        <f>VLOOKUP(B8,Sheet1!D$2:L$430,8,FALSE)</f>
        <v>93000</v>
      </c>
      <c r="AL8" s="1109">
        <f>O8</f>
        <v>1</v>
      </c>
      <c r="AM8" s="1074">
        <f>AI8*1.02</f>
        <v>101036.4672</v>
      </c>
      <c r="AN8" s="1085">
        <f>AL8</f>
        <v>1</v>
      </c>
      <c r="AO8" s="1074">
        <f>AM8</f>
        <v>101036.4672</v>
      </c>
      <c r="AP8" s="1080"/>
    </row>
    <row r="9" spans="1:44" outlineLevel="2" x14ac:dyDescent="0.2">
      <c r="A9" s="1075">
        <v>506</v>
      </c>
      <c r="B9" s="1078">
        <v>5994911</v>
      </c>
      <c r="C9" s="1075">
        <v>59949115</v>
      </c>
      <c r="D9" s="1075" t="s">
        <v>1329</v>
      </c>
      <c r="E9" s="1075" t="s">
        <v>2233</v>
      </c>
      <c r="F9" s="1075">
        <v>613000</v>
      </c>
      <c r="G9" s="1075" t="s">
        <v>2107</v>
      </c>
      <c r="H9" s="1075">
        <v>90534</v>
      </c>
      <c r="I9" s="1075">
        <v>0</v>
      </c>
      <c r="J9" s="1075">
        <v>39</v>
      </c>
      <c r="K9" s="1075">
        <v>3</v>
      </c>
      <c r="L9" s="1075">
        <v>0</v>
      </c>
      <c r="M9" s="1075" t="s">
        <v>1330</v>
      </c>
      <c r="N9" s="1075" t="s">
        <v>1330</v>
      </c>
      <c r="O9" s="1077">
        <f>P9/100</f>
        <v>1</v>
      </c>
      <c r="P9" s="1075">
        <v>100</v>
      </c>
      <c r="Q9" s="1074">
        <v>28512.5</v>
      </c>
      <c r="R9" s="1074">
        <v>1628.5</v>
      </c>
      <c r="S9" s="1074">
        <v>1558.4</v>
      </c>
      <c r="T9" s="1074">
        <v>23532.15</v>
      </c>
      <c r="U9" s="1074">
        <v>660.8</v>
      </c>
      <c r="V9" s="1074">
        <v>0</v>
      </c>
      <c r="W9" s="1074">
        <v>0</v>
      </c>
      <c r="X9" s="1074">
        <v>2689.45</v>
      </c>
      <c r="Y9" s="1074">
        <v>213</v>
      </c>
      <c r="Z9" s="1074">
        <v>0</v>
      </c>
      <c r="AA9" s="1074">
        <v>19968.900000000001</v>
      </c>
      <c r="AB9" s="1074">
        <v>1793.45</v>
      </c>
      <c r="AC9" s="1074">
        <v>0</v>
      </c>
      <c r="AD9" s="1074">
        <v>0</v>
      </c>
      <c r="AE9" s="1074">
        <v>1613000</v>
      </c>
      <c r="AF9" s="1074" t="s">
        <v>251</v>
      </c>
      <c r="AG9" s="1095">
        <f>VLOOKUP(B9,עזר!A$2:B$329,2,FALSE)</f>
        <v>276172.46999999997</v>
      </c>
      <c r="AH9" s="1074">
        <f>Q9*3</f>
        <v>85537.5</v>
      </c>
      <c r="AI9" s="1074">
        <f>AH9+AG9</f>
        <v>361709.97</v>
      </c>
      <c r="AJ9" s="1077">
        <f>VLOOKUP(B9,Sheet1!D$2:K$430,7,FALSE)</f>
        <v>1</v>
      </c>
      <c r="AK9" s="1074">
        <f>VLOOKUP(B9,Sheet1!D$2:L$430,8,FALSE)</f>
        <v>406666.66666666663</v>
      </c>
      <c r="AL9" s="1109">
        <f>O9</f>
        <v>1</v>
      </c>
      <c r="AM9" s="1111">
        <f>(AI9/0.7)*0.5+AI9*0.5</f>
        <v>439219.24928571424</v>
      </c>
      <c r="AN9" s="1085">
        <f>AL9</f>
        <v>1</v>
      </c>
      <c r="AO9" s="1074">
        <f>AM9</f>
        <v>439219.24928571424</v>
      </c>
      <c r="AP9" s="1080"/>
      <c r="AQ9" s="1126">
        <f>AI9/0.7</f>
        <v>516728.52857142856</v>
      </c>
      <c r="AR9" s="1126">
        <f>AQ9-AM9</f>
        <v>77509.279285714321</v>
      </c>
    </row>
    <row r="10" spans="1:44" outlineLevel="2" x14ac:dyDescent="0.2">
      <c r="A10" s="1075">
        <v>506</v>
      </c>
      <c r="B10" s="1078"/>
      <c r="D10" s="1110" t="s">
        <v>758</v>
      </c>
      <c r="E10" s="1110" t="s">
        <v>758</v>
      </c>
      <c r="F10" s="1075">
        <v>613000</v>
      </c>
      <c r="M10" s="1075" t="s">
        <v>1330</v>
      </c>
      <c r="N10" s="1075" t="s">
        <v>3194</v>
      </c>
      <c r="O10" s="1077">
        <v>0</v>
      </c>
      <c r="Q10" s="1074">
        <v>0</v>
      </c>
      <c r="R10" s="1074"/>
      <c r="S10" s="1074"/>
      <c r="T10" s="1074"/>
      <c r="U10" s="1074"/>
      <c r="V10" s="1074"/>
      <c r="W10" s="1074"/>
      <c r="X10" s="1074"/>
      <c r="Y10" s="1074"/>
      <c r="Z10" s="1074"/>
      <c r="AA10" s="1074"/>
      <c r="AB10" s="1074"/>
      <c r="AC10" s="1074"/>
      <c r="AD10" s="1074"/>
      <c r="AE10" s="1074"/>
      <c r="AF10" s="1074"/>
      <c r="AG10" s="1095">
        <v>0</v>
      </c>
      <c r="AH10" s="1074">
        <v>0</v>
      </c>
      <c r="AI10" s="1074">
        <v>0</v>
      </c>
      <c r="AJ10" s="1077">
        <v>0</v>
      </c>
      <c r="AK10" s="1074">
        <v>0</v>
      </c>
      <c r="AL10" s="1109">
        <v>0.25</v>
      </c>
      <c r="AM10" s="1111">
        <v>0</v>
      </c>
      <c r="AN10" s="1085">
        <v>0.25</v>
      </c>
      <c r="AO10" s="1074">
        <v>30000</v>
      </c>
      <c r="AP10" s="1080"/>
    </row>
    <row r="11" spans="1:44" outlineLevel="1" x14ac:dyDescent="0.2">
      <c r="B11" s="1078"/>
      <c r="F11" s="1088" t="s">
        <v>3076</v>
      </c>
      <c r="O11" s="1077">
        <f>SUBTOTAL(9,O8:O10)</f>
        <v>2</v>
      </c>
      <c r="Q11" s="1074">
        <f>SUBTOTAL(9,Q8:Q10)</f>
        <v>36001.03</v>
      </c>
      <c r="R11" s="1074"/>
      <c r="S11" s="1074"/>
      <c r="T11" s="1074"/>
      <c r="U11" s="1074"/>
      <c r="V11" s="1074"/>
      <c r="W11" s="1074"/>
      <c r="X11" s="1074"/>
      <c r="Y11" s="1074"/>
      <c r="Z11" s="1074"/>
      <c r="AA11" s="1074"/>
      <c r="AB11" s="1074"/>
      <c r="AC11" s="1074"/>
      <c r="AD11" s="1074"/>
      <c r="AE11" s="1074"/>
      <c r="AF11" s="1074"/>
      <c r="AG11" s="1095">
        <f t="shared" ref="AG11:AM11" si="3">SUBTOTAL(9,AG8:AG10)</f>
        <v>352762.24</v>
      </c>
      <c r="AH11" s="1074">
        <f t="shared" si="3"/>
        <v>108003.09</v>
      </c>
      <c r="AI11" s="1074">
        <f t="shared" si="3"/>
        <v>460765.32999999996</v>
      </c>
      <c r="AJ11" s="1077">
        <f t="shared" si="3"/>
        <v>2</v>
      </c>
      <c r="AK11" s="1074">
        <f t="shared" si="3"/>
        <v>499666.66666666663</v>
      </c>
      <c r="AL11" s="1109">
        <f t="shared" si="3"/>
        <v>2.25</v>
      </c>
      <c r="AM11" s="1111">
        <f t="shared" si="3"/>
        <v>540255.71648571419</v>
      </c>
      <c r="AP11" s="1080">
        <f>SUBTOTAL(9,AP8:AP10)</f>
        <v>0</v>
      </c>
    </row>
    <row r="12" spans="1:44" outlineLevel="2" x14ac:dyDescent="0.2">
      <c r="A12" s="1075">
        <v>506</v>
      </c>
      <c r="B12" s="1078">
        <v>2751043</v>
      </c>
      <c r="C12" s="1075">
        <v>27510437</v>
      </c>
      <c r="D12" s="1075" t="s">
        <v>2112</v>
      </c>
      <c r="E12" s="1075" t="s">
        <v>2253</v>
      </c>
      <c r="F12" s="1075">
        <v>615000</v>
      </c>
      <c r="G12" s="1075" t="s">
        <v>2107</v>
      </c>
      <c r="H12" s="1075">
        <v>90534</v>
      </c>
      <c r="I12" s="1075">
        <v>0</v>
      </c>
      <c r="J12" s="1075">
        <v>5</v>
      </c>
      <c r="K12" s="1075">
        <v>37</v>
      </c>
      <c r="L12" s="1075">
        <v>0</v>
      </c>
      <c r="M12" s="1075" t="s">
        <v>941</v>
      </c>
      <c r="O12" s="1077">
        <f t="shared" ref="O12:O18" si="4">P12/100</f>
        <v>0.7</v>
      </c>
      <c r="P12" s="1075">
        <v>70</v>
      </c>
      <c r="Q12" s="1074">
        <v>5902.35</v>
      </c>
      <c r="R12" s="1074">
        <v>482.45</v>
      </c>
      <c r="S12" s="1074">
        <v>160.94</v>
      </c>
      <c r="T12" s="1074">
        <v>4909.0600000000004</v>
      </c>
      <c r="U12" s="1074">
        <v>0</v>
      </c>
      <c r="V12" s="1074">
        <v>0</v>
      </c>
      <c r="W12" s="1074">
        <v>0</v>
      </c>
      <c r="X12" s="1074">
        <v>0</v>
      </c>
      <c r="Y12" s="1074">
        <v>169.55</v>
      </c>
      <c r="Z12" s="1074">
        <v>0</v>
      </c>
      <c r="AA12" s="1074">
        <v>4739.51</v>
      </c>
      <c r="AB12" s="1074">
        <v>349.9</v>
      </c>
      <c r="AC12" s="1074">
        <v>0</v>
      </c>
      <c r="AD12" s="1074">
        <v>0</v>
      </c>
      <c r="AE12" s="1074">
        <v>1615000</v>
      </c>
      <c r="AF12" s="1074" t="s">
        <v>251</v>
      </c>
      <c r="AG12" s="1095">
        <f>VLOOKUP(B12,עזר!A$2:B$329,2,FALSE)</f>
        <v>65030.28</v>
      </c>
      <c r="AH12" s="1074">
        <f t="shared" ref="AH12:AH18" si="5">Q12*3</f>
        <v>17707.050000000003</v>
      </c>
      <c r="AI12" s="1074">
        <f t="shared" ref="AI12:AI18" si="6">AH12+AG12</f>
        <v>82737.33</v>
      </c>
      <c r="AJ12" s="1077">
        <f>VLOOKUP(B12,Sheet1!D$2:K$430,7,FALSE)</f>
        <v>0.7</v>
      </c>
      <c r="AK12" s="1074">
        <f>VLOOKUP(B12,Sheet1!D$2:L$430,8,FALSE)</f>
        <v>75000</v>
      </c>
      <c r="AL12" s="1109">
        <f t="shared" ref="AL12:AL18" si="7">O12</f>
        <v>0.7</v>
      </c>
      <c r="AM12" s="1074">
        <f t="shared" ref="AM12:AM18" si="8">AI12*1.02</f>
        <v>84392.0766</v>
      </c>
      <c r="AN12" s="1085">
        <f t="shared" ref="AN12:AO18" si="9">AL12</f>
        <v>0.7</v>
      </c>
      <c r="AO12" s="1074">
        <f t="shared" si="9"/>
        <v>84392.0766</v>
      </c>
      <c r="AP12" s="1080"/>
    </row>
    <row r="13" spans="1:44" outlineLevel="2" x14ac:dyDescent="0.2">
      <c r="A13" s="1075">
        <v>506</v>
      </c>
      <c r="B13" s="1078">
        <v>2815172</v>
      </c>
      <c r="C13" s="1075">
        <v>28151728</v>
      </c>
      <c r="D13" s="1075" t="s">
        <v>2131</v>
      </c>
      <c r="E13" s="1075" t="s">
        <v>2254</v>
      </c>
      <c r="F13" s="1075">
        <v>615000</v>
      </c>
      <c r="G13" s="1075" t="s">
        <v>2107</v>
      </c>
      <c r="H13" s="1075">
        <v>90534</v>
      </c>
      <c r="I13" s="1075">
        <v>1</v>
      </c>
      <c r="J13" s="1075">
        <v>0</v>
      </c>
      <c r="K13" s="1075">
        <v>0</v>
      </c>
      <c r="L13" s="1075">
        <v>0</v>
      </c>
      <c r="M13" s="1075" t="s">
        <v>941</v>
      </c>
      <c r="O13" s="1077">
        <f t="shared" si="4"/>
        <v>0</v>
      </c>
      <c r="P13" s="1075">
        <v>0</v>
      </c>
      <c r="Q13" s="1074">
        <v>2754.35</v>
      </c>
      <c r="R13" s="1074">
        <v>406.4</v>
      </c>
      <c r="S13" s="1074">
        <v>75.099999999999994</v>
      </c>
      <c r="T13" s="1074">
        <v>2109.6</v>
      </c>
      <c r="U13" s="1074">
        <v>0</v>
      </c>
      <c r="V13" s="1074">
        <v>0</v>
      </c>
      <c r="W13" s="1074">
        <v>0</v>
      </c>
      <c r="X13" s="1074">
        <v>0</v>
      </c>
      <c r="Y13" s="1074">
        <v>174.25</v>
      </c>
      <c r="Z13" s="1074">
        <v>0</v>
      </c>
      <c r="AA13" s="1074">
        <v>1935.35</v>
      </c>
      <c r="AB13" s="1074">
        <v>163.25</v>
      </c>
      <c r="AC13" s="1074">
        <v>0</v>
      </c>
      <c r="AD13" s="1074">
        <v>0</v>
      </c>
      <c r="AE13" s="1074">
        <v>1615000</v>
      </c>
      <c r="AF13" s="1074" t="s">
        <v>251</v>
      </c>
      <c r="AG13" s="1095">
        <f>VLOOKUP(B13,עזר!A$2:B$329,2,FALSE)</f>
        <v>31414.52</v>
      </c>
      <c r="AH13" s="1074">
        <f t="shared" si="5"/>
        <v>8263.0499999999993</v>
      </c>
      <c r="AI13" s="1074">
        <f t="shared" si="6"/>
        <v>39677.57</v>
      </c>
      <c r="AJ13" s="1077">
        <f>VLOOKUP(B13,Sheet1!D$2:K$430,7,FALSE)</f>
        <v>0.5</v>
      </c>
      <c r="AK13" s="1074">
        <f>VLOOKUP(B13,Sheet1!D$2:L$430,8,FALSE)</f>
        <v>44000</v>
      </c>
      <c r="AL13" s="1109">
        <f t="shared" si="7"/>
        <v>0</v>
      </c>
      <c r="AM13" s="1074">
        <f t="shared" si="8"/>
        <v>40471.121400000004</v>
      </c>
      <c r="AN13" s="1085">
        <f t="shared" si="9"/>
        <v>0</v>
      </c>
      <c r="AO13" s="1074">
        <f t="shared" si="9"/>
        <v>40471.121400000004</v>
      </c>
      <c r="AP13" s="1080"/>
    </row>
    <row r="14" spans="1:44" outlineLevel="2" x14ac:dyDescent="0.2">
      <c r="A14" s="1075">
        <v>506</v>
      </c>
      <c r="B14" s="1078">
        <v>5445944</v>
      </c>
      <c r="C14" s="1075">
        <v>54459441</v>
      </c>
      <c r="D14" s="1075" t="s">
        <v>2255</v>
      </c>
      <c r="E14" s="1075" t="s">
        <v>2256</v>
      </c>
      <c r="F14" s="1075">
        <v>615000</v>
      </c>
      <c r="G14" s="1075" t="s">
        <v>2107</v>
      </c>
      <c r="H14" s="1075">
        <v>90534</v>
      </c>
      <c r="I14" s="1075">
        <v>0</v>
      </c>
      <c r="J14" s="1075">
        <v>5</v>
      </c>
      <c r="K14" s="1075">
        <v>5</v>
      </c>
      <c r="L14" s="1075">
        <v>0</v>
      </c>
      <c r="M14" s="1075" t="s">
        <v>941</v>
      </c>
      <c r="O14" s="1077">
        <f t="shared" si="4"/>
        <v>0.5</v>
      </c>
      <c r="P14" s="1075">
        <v>50</v>
      </c>
      <c r="Q14" s="1074">
        <v>4787.68</v>
      </c>
      <c r="R14" s="1074">
        <v>726.15</v>
      </c>
      <c r="S14" s="1074">
        <v>126.29</v>
      </c>
      <c r="T14" s="1074">
        <v>3660.69</v>
      </c>
      <c r="U14" s="1074">
        <v>0</v>
      </c>
      <c r="V14" s="1074">
        <v>0</v>
      </c>
      <c r="W14" s="1074">
        <v>0</v>
      </c>
      <c r="X14" s="1074">
        <v>0</v>
      </c>
      <c r="Y14" s="1074">
        <v>157.4</v>
      </c>
      <c r="Z14" s="1074">
        <v>0</v>
      </c>
      <c r="AA14" s="1074">
        <v>3503.29</v>
      </c>
      <c r="AB14" s="1074">
        <v>274.55</v>
      </c>
      <c r="AC14" s="1074">
        <v>0</v>
      </c>
      <c r="AD14" s="1074">
        <v>0</v>
      </c>
      <c r="AE14" s="1074">
        <v>1615000</v>
      </c>
      <c r="AF14" s="1074" t="s">
        <v>251</v>
      </c>
      <c r="AG14" s="1095">
        <f>VLOOKUP(B14,עזר!A$2:B$329,2,FALSE)</f>
        <v>47840.959999999999</v>
      </c>
      <c r="AH14" s="1074">
        <f t="shared" si="5"/>
        <v>14363.04</v>
      </c>
      <c r="AI14" s="1074">
        <f t="shared" si="6"/>
        <v>62204</v>
      </c>
      <c r="AJ14" s="1077">
        <f>VLOOKUP(B14,Sheet1!D$2:K$430,7,FALSE)</f>
        <v>0.6</v>
      </c>
      <c r="AK14" s="1074">
        <f>VLOOKUP(B14,Sheet1!D$2:L$430,8,FALSE)</f>
        <v>62000</v>
      </c>
      <c r="AL14" s="1109">
        <f t="shared" si="7"/>
        <v>0.5</v>
      </c>
      <c r="AM14" s="1074">
        <f t="shared" si="8"/>
        <v>63448.08</v>
      </c>
      <c r="AN14" s="1085">
        <f t="shared" si="9"/>
        <v>0.5</v>
      </c>
      <c r="AO14" s="1074">
        <f t="shared" si="9"/>
        <v>63448.08</v>
      </c>
      <c r="AP14" s="1080"/>
    </row>
    <row r="15" spans="1:44" outlineLevel="2" x14ac:dyDescent="0.2">
      <c r="A15" s="1075">
        <v>506</v>
      </c>
      <c r="B15" s="1078">
        <v>5581635</v>
      </c>
      <c r="C15" s="1075">
        <v>55816359</v>
      </c>
      <c r="D15" s="1075" t="s">
        <v>2138</v>
      </c>
      <c r="E15" s="1075" t="s">
        <v>2251</v>
      </c>
      <c r="F15" s="1075">
        <v>615000</v>
      </c>
      <c r="G15" s="1075" t="s">
        <v>2107</v>
      </c>
      <c r="H15" s="1075">
        <v>90534</v>
      </c>
      <c r="I15" s="1075">
        <v>0</v>
      </c>
      <c r="J15" s="1075">
        <v>5</v>
      </c>
      <c r="K15" s="1075">
        <v>37</v>
      </c>
      <c r="L15" s="1075">
        <v>0</v>
      </c>
      <c r="M15" s="1075" t="s">
        <v>941</v>
      </c>
      <c r="O15" s="1077">
        <f t="shared" si="4"/>
        <v>0.5</v>
      </c>
      <c r="P15" s="1075">
        <v>50</v>
      </c>
      <c r="Q15" s="1074">
        <v>5092.42</v>
      </c>
      <c r="R15" s="1074">
        <v>408.3</v>
      </c>
      <c r="S15" s="1074">
        <v>145.65</v>
      </c>
      <c r="T15" s="1074">
        <v>4221.82</v>
      </c>
      <c r="U15" s="1074">
        <v>0</v>
      </c>
      <c r="V15" s="1074">
        <v>0</v>
      </c>
      <c r="W15" s="1074">
        <v>0</v>
      </c>
      <c r="X15" s="1074">
        <v>0</v>
      </c>
      <c r="Y15" s="1074">
        <v>184.05</v>
      </c>
      <c r="Z15" s="1074">
        <v>0</v>
      </c>
      <c r="AA15" s="1074">
        <v>4037.77</v>
      </c>
      <c r="AB15" s="1074">
        <v>316.64999999999998</v>
      </c>
      <c r="AC15" s="1074">
        <v>0</v>
      </c>
      <c r="AD15" s="1074">
        <v>0</v>
      </c>
      <c r="AE15" s="1074">
        <v>1615000</v>
      </c>
      <c r="AF15" s="1074" t="s">
        <v>251</v>
      </c>
      <c r="AG15" s="1095">
        <f>VLOOKUP(B15,עזר!A$2:B$329,2,FALSE)</f>
        <v>50713.04</v>
      </c>
      <c r="AH15" s="1074">
        <f t="shared" si="5"/>
        <v>15277.26</v>
      </c>
      <c r="AI15" s="1074">
        <f t="shared" si="6"/>
        <v>65990.3</v>
      </c>
      <c r="AJ15" s="1077">
        <f>VLOOKUP(B15,Sheet1!D$2:K$430,7,FALSE)</f>
        <v>0.6</v>
      </c>
      <c r="AK15" s="1074">
        <f>VLOOKUP(B15,Sheet1!D$2:L$430,8,FALSE)</f>
        <v>63000</v>
      </c>
      <c r="AL15" s="1109">
        <f t="shared" si="7"/>
        <v>0.5</v>
      </c>
      <c r="AM15" s="1074">
        <f t="shared" si="8"/>
        <v>67310.106</v>
      </c>
      <c r="AN15" s="1085">
        <f t="shared" si="9"/>
        <v>0.5</v>
      </c>
      <c r="AO15" s="1074">
        <f t="shared" si="9"/>
        <v>67310.106</v>
      </c>
      <c r="AP15" s="1080"/>
    </row>
    <row r="16" spans="1:44" outlineLevel="2" x14ac:dyDescent="0.2">
      <c r="A16" s="1075">
        <v>506</v>
      </c>
      <c r="B16" s="1078">
        <v>5944912</v>
      </c>
      <c r="C16" s="1075">
        <v>59449124</v>
      </c>
      <c r="D16" s="1075" t="s">
        <v>2117</v>
      </c>
      <c r="E16" s="1075" t="s">
        <v>2257</v>
      </c>
      <c r="F16" s="1075">
        <v>615000</v>
      </c>
      <c r="G16" s="1075" t="s">
        <v>2107</v>
      </c>
      <c r="H16" s="1075">
        <v>90534</v>
      </c>
      <c r="I16" s="1075">
        <v>0</v>
      </c>
      <c r="J16" s="1075">
        <v>5</v>
      </c>
      <c r="K16" s="1075">
        <v>40</v>
      </c>
      <c r="L16" s="1075">
        <v>0</v>
      </c>
      <c r="M16" s="1075" t="s">
        <v>941</v>
      </c>
      <c r="O16" s="1077">
        <f t="shared" si="4"/>
        <v>1</v>
      </c>
      <c r="P16" s="1075">
        <v>100</v>
      </c>
      <c r="Q16" s="1074">
        <v>12593.59</v>
      </c>
      <c r="R16" s="1074">
        <v>906.1</v>
      </c>
      <c r="S16" s="1074">
        <v>549.35</v>
      </c>
      <c r="T16" s="1074">
        <v>10353.74</v>
      </c>
      <c r="U16" s="1074">
        <v>0</v>
      </c>
      <c r="V16" s="1074">
        <v>0</v>
      </c>
      <c r="W16" s="1074">
        <v>0</v>
      </c>
      <c r="X16" s="1074">
        <v>1240.25</v>
      </c>
      <c r="Y16" s="1074">
        <v>261.60000000000002</v>
      </c>
      <c r="Z16" s="1074">
        <v>0</v>
      </c>
      <c r="AA16" s="1074">
        <v>8851.89</v>
      </c>
      <c r="AB16" s="1074">
        <v>784.4</v>
      </c>
      <c r="AC16" s="1074">
        <v>0</v>
      </c>
      <c r="AD16" s="1074">
        <v>0</v>
      </c>
      <c r="AE16" s="1074">
        <v>1615000</v>
      </c>
      <c r="AF16" s="1074" t="s">
        <v>251</v>
      </c>
      <c r="AG16" s="1095">
        <f>VLOOKUP(B16,עזר!A$2:B$329,2,FALSE)</f>
        <v>123482.63</v>
      </c>
      <c r="AH16" s="1074">
        <f t="shared" si="5"/>
        <v>37780.770000000004</v>
      </c>
      <c r="AI16" s="1074">
        <f t="shared" si="6"/>
        <v>161263.40000000002</v>
      </c>
      <c r="AJ16" s="1077">
        <f>VLOOKUP(B16,Sheet1!D$2:K$430,7,FALSE)</f>
        <v>1</v>
      </c>
      <c r="AK16" s="1074">
        <f>VLOOKUP(B16,Sheet1!D$2:L$430,8,FALSE)</f>
        <v>165000</v>
      </c>
      <c r="AL16" s="1109">
        <f t="shared" si="7"/>
        <v>1</v>
      </c>
      <c r="AM16" s="1074">
        <f t="shared" si="8"/>
        <v>164488.66800000003</v>
      </c>
      <c r="AN16" s="1085">
        <f t="shared" si="9"/>
        <v>1</v>
      </c>
      <c r="AO16" s="1074">
        <f t="shared" si="9"/>
        <v>164488.66800000003</v>
      </c>
      <c r="AP16" s="1080"/>
    </row>
    <row r="17" spans="1:43" outlineLevel="2" x14ac:dyDescent="0.2">
      <c r="A17" s="1075">
        <v>506</v>
      </c>
      <c r="B17" s="1078">
        <v>5947278</v>
      </c>
      <c r="C17" s="1075">
        <v>59472787</v>
      </c>
      <c r="D17" s="1075" t="s">
        <v>2216</v>
      </c>
      <c r="E17" s="1075" t="s">
        <v>2198</v>
      </c>
      <c r="F17" s="1075">
        <v>615000</v>
      </c>
      <c r="G17" s="1075" t="s">
        <v>2107</v>
      </c>
      <c r="H17" s="1075">
        <v>90534</v>
      </c>
      <c r="I17" s="1075">
        <v>0</v>
      </c>
      <c r="J17" s="1075">
        <v>5</v>
      </c>
      <c r="K17" s="1075">
        <v>37</v>
      </c>
      <c r="L17" s="1075">
        <v>0</v>
      </c>
      <c r="M17" s="1075" t="s">
        <v>941</v>
      </c>
      <c r="O17" s="1077">
        <f t="shared" si="4"/>
        <v>0.5</v>
      </c>
      <c r="P17" s="1075">
        <v>50</v>
      </c>
      <c r="Q17" s="1074">
        <v>8720.2900000000009</v>
      </c>
      <c r="R17" s="1074">
        <v>743.95</v>
      </c>
      <c r="S17" s="1074">
        <v>259</v>
      </c>
      <c r="T17" s="1074">
        <v>7178.94</v>
      </c>
      <c r="U17" s="1074">
        <v>105.85</v>
      </c>
      <c r="V17" s="1074">
        <v>0</v>
      </c>
      <c r="W17" s="1074">
        <v>0</v>
      </c>
      <c r="X17" s="1074">
        <v>747.7</v>
      </c>
      <c r="Y17" s="1074">
        <v>174.45</v>
      </c>
      <c r="Z17" s="1074">
        <v>0</v>
      </c>
      <c r="AA17" s="1074">
        <v>6150.94</v>
      </c>
      <c r="AB17" s="1074">
        <v>538.4</v>
      </c>
      <c r="AC17" s="1074">
        <v>0</v>
      </c>
      <c r="AD17" s="1074">
        <v>0</v>
      </c>
      <c r="AE17" s="1074">
        <v>1615000</v>
      </c>
      <c r="AF17" s="1074" t="s">
        <v>251</v>
      </c>
      <c r="AG17" s="1095">
        <f>VLOOKUP(B17,עזר!A$2:B$329,2,FALSE)</f>
        <v>60929.74</v>
      </c>
      <c r="AH17" s="1074">
        <f t="shared" si="5"/>
        <v>26160.870000000003</v>
      </c>
      <c r="AI17" s="1074">
        <f t="shared" si="6"/>
        <v>87090.61</v>
      </c>
      <c r="AJ17" s="1077">
        <f>VLOOKUP(B17,Sheet1!D$2:K$430,7,FALSE)</f>
        <v>0.6</v>
      </c>
      <c r="AK17" s="1074">
        <f>VLOOKUP(B17,Sheet1!D$2:L$430,8,FALSE)</f>
        <v>75000</v>
      </c>
      <c r="AL17" s="1109">
        <f t="shared" si="7"/>
        <v>0.5</v>
      </c>
      <c r="AM17" s="1074">
        <f t="shared" si="8"/>
        <v>88832.422200000001</v>
      </c>
      <c r="AN17" s="1085">
        <f t="shared" si="9"/>
        <v>0.5</v>
      </c>
      <c r="AO17" s="1074">
        <f t="shared" si="9"/>
        <v>88832.422200000001</v>
      </c>
      <c r="AP17" s="1080"/>
    </row>
    <row r="18" spans="1:43" outlineLevel="2" x14ac:dyDescent="0.2">
      <c r="A18" s="1075">
        <v>506</v>
      </c>
      <c r="B18" s="1078">
        <v>8094430</v>
      </c>
      <c r="C18" s="1075">
        <v>80944309</v>
      </c>
      <c r="D18" s="1075" t="s">
        <v>2258</v>
      </c>
      <c r="E18" s="1075" t="s">
        <v>2259</v>
      </c>
      <c r="F18" s="1075">
        <v>615000</v>
      </c>
      <c r="G18" s="1075" t="s">
        <v>2107</v>
      </c>
      <c r="H18" s="1075">
        <v>90534</v>
      </c>
      <c r="I18" s="1075">
        <v>0</v>
      </c>
      <c r="J18" s="1075">
        <v>5</v>
      </c>
      <c r="K18" s="1075">
        <v>5</v>
      </c>
      <c r="L18" s="1075">
        <v>0</v>
      </c>
      <c r="M18" s="1075" t="s">
        <v>941</v>
      </c>
      <c r="O18" s="1077">
        <f t="shared" si="4"/>
        <v>0.5</v>
      </c>
      <c r="P18" s="1075">
        <v>50</v>
      </c>
      <c r="Q18" s="1074">
        <v>4227.34</v>
      </c>
      <c r="R18" s="1074">
        <v>669.85</v>
      </c>
      <c r="S18" s="1074">
        <v>110.62</v>
      </c>
      <c r="T18" s="1074">
        <v>3206.37</v>
      </c>
      <c r="U18" s="1074">
        <v>0</v>
      </c>
      <c r="V18" s="1074">
        <v>0</v>
      </c>
      <c r="W18" s="1074">
        <v>0</v>
      </c>
      <c r="X18" s="1074">
        <v>0</v>
      </c>
      <c r="Y18" s="1074">
        <v>21.85</v>
      </c>
      <c r="Z18" s="1074">
        <v>0</v>
      </c>
      <c r="AA18" s="1074">
        <v>3184.52</v>
      </c>
      <c r="AB18" s="1074">
        <v>240.5</v>
      </c>
      <c r="AC18" s="1074">
        <v>0</v>
      </c>
      <c r="AD18" s="1074">
        <v>0</v>
      </c>
      <c r="AE18" s="1074">
        <v>1615000</v>
      </c>
      <c r="AF18" s="1074" t="s">
        <v>251</v>
      </c>
      <c r="AG18" s="1095">
        <f>VLOOKUP(B18,עזר!A$2:B$329,2,FALSE)</f>
        <v>44928.41</v>
      </c>
      <c r="AH18" s="1074">
        <f t="shared" si="5"/>
        <v>12682.02</v>
      </c>
      <c r="AI18" s="1074">
        <f t="shared" si="6"/>
        <v>57610.430000000008</v>
      </c>
      <c r="AJ18" s="1077">
        <f>VLOOKUP(B18,Sheet1!D$2:K$430,7,FALSE)</f>
        <v>0.6</v>
      </c>
      <c r="AK18" s="1074">
        <f>VLOOKUP(B18,Sheet1!D$2:L$430,8,FALSE)</f>
        <v>55000</v>
      </c>
      <c r="AL18" s="1109">
        <f t="shared" si="7"/>
        <v>0.5</v>
      </c>
      <c r="AM18" s="1074">
        <f t="shared" si="8"/>
        <v>58762.638600000006</v>
      </c>
      <c r="AN18" s="1085">
        <f t="shared" si="9"/>
        <v>0.5</v>
      </c>
      <c r="AO18" s="1074">
        <f t="shared" si="9"/>
        <v>58762.638600000006</v>
      </c>
      <c r="AP18" s="1080"/>
    </row>
    <row r="19" spans="1:43" outlineLevel="2" x14ac:dyDescent="0.2">
      <c r="A19" s="1075">
        <v>506</v>
      </c>
      <c r="B19" s="1078"/>
      <c r="D19" s="1110" t="s">
        <v>758</v>
      </c>
      <c r="E19" s="1110" t="s">
        <v>758</v>
      </c>
      <c r="F19" s="1075">
        <v>615000</v>
      </c>
      <c r="M19" s="1075" t="s">
        <v>941</v>
      </c>
      <c r="N19" s="1075" t="s">
        <v>3142</v>
      </c>
      <c r="Q19" s="1074"/>
      <c r="R19" s="1074"/>
      <c r="S19" s="1074"/>
      <c r="T19" s="1074"/>
      <c r="U19" s="1074"/>
      <c r="V19" s="1074"/>
      <c r="W19" s="1074"/>
      <c r="X19" s="1074"/>
      <c r="Y19" s="1074"/>
      <c r="Z19" s="1074"/>
      <c r="AA19" s="1074"/>
      <c r="AB19" s="1074"/>
      <c r="AC19" s="1074"/>
      <c r="AD19" s="1074"/>
      <c r="AE19" s="1074"/>
      <c r="AF19" s="1074"/>
      <c r="AG19" s="1095"/>
      <c r="AH19" s="1074"/>
      <c r="AI19" s="1074"/>
      <c r="AK19" s="1074"/>
      <c r="AL19" s="1109">
        <v>0.5</v>
      </c>
      <c r="AM19" s="1111">
        <v>0</v>
      </c>
      <c r="AN19" s="1085">
        <v>0.5</v>
      </c>
      <c r="AO19" s="1074">
        <v>60000</v>
      </c>
      <c r="AP19" s="1080"/>
    </row>
    <row r="20" spans="1:43" outlineLevel="2" x14ac:dyDescent="0.2">
      <c r="A20" s="1075">
        <v>506</v>
      </c>
      <c r="B20" s="1078"/>
      <c r="D20" s="1110" t="s">
        <v>758</v>
      </c>
      <c r="E20" s="1110" t="s">
        <v>758</v>
      </c>
      <c r="F20" s="1075">
        <v>615000</v>
      </c>
      <c r="M20" s="1075" t="s">
        <v>941</v>
      </c>
      <c r="N20" s="1075" t="s">
        <v>3195</v>
      </c>
      <c r="Q20" s="1074"/>
      <c r="R20" s="1074"/>
      <c r="S20" s="1074"/>
      <c r="T20" s="1074"/>
      <c r="U20" s="1074"/>
      <c r="V20" s="1074"/>
      <c r="W20" s="1074"/>
      <c r="X20" s="1074"/>
      <c r="Y20" s="1074"/>
      <c r="Z20" s="1074"/>
      <c r="AA20" s="1074"/>
      <c r="AB20" s="1074"/>
      <c r="AC20" s="1074"/>
      <c r="AD20" s="1074"/>
      <c r="AE20" s="1074"/>
      <c r="AF20" s="1074"/>
      <c r="AG20" s="1095"/>
      <c r="AH20" s="1074"/>
      <c r="AI20" s="1074"/>
      <c r="AK20" s="1074"/>
      <c r="AL20" s="1109">
        <v>0.25</v>
      </c>
      <c r="AM20" s="1111">
        <v>0</v>
      </c>
      <c r="AP20" s="1080"/>
    </row>
    <row r="21" spans="1:43" outlineLevel="2" x14ac:dyDescent="0.2">
      <c r="B21" s="1078"/>
      <c r="D21" s="1110" t="s">
        <v>758</v>
      </c>
      <c r="E21" s="1110" t="s">
        <v>758</v>
      </c>
      <c r="F21" s="1075">
        <v>615000</v>
      </c>
      <c r="M21" s="1075" t="s">
        <v>941</v>
      </c>
      <c r="N21" s="1075" t="s">
        <v>3197</v>
      </c>
      <c r="Q21" s="1074"/>
      <c r="R21" s="1074"/>
      <c r="S21" s="1074"/>
      <c r="T21" s="1074"/>
      <c r="U21" s="1074"/>
      <c r="V21" s="1074"/>
      <c r="W21" s="1074"/>
      <c r="X21" s="1074"/>
      <c r="Y21" s="1074"/>
      <c r="Z21" s="1074"/>
      <c r="AA21" s="1074"/>
      <c r="AB21" s="1074"/>
      <c r="AC21" s="1074"/>
      <c r="AD21" s="1074"/>
      <c r="AE21" s="1074"/>
      <c r="AF21" s="1074"/>
      <c r="AG21" s="1095"/>
      <c r="AH21" s="1074"/>
      <c r="AI21" s="1074"/>
      <c r="AK21" s="1074"/>
      <c r="AL21" s="1109">
        <v>0.5</v>
      </c>
      <c r="AM21" s="1111">
        <v>0</v>
      </c>
      <c r="AP21" s="1080"/>
    </row>
    <row r="22" spans="1:43" outlineLevel="2" x14ac:dyDescent="0.2">
      <c r="B22" s="1078"/>
      <c r="D22" s="1110" t="s">
        <v>758</v>
      </c>
      <c r="E22" s="1110" t="s">
        <v>758</v>
      </c>
      <c r="F22" s="1075">
        <v>615000</v>
      </c>
      <c r="M22" s="1075" t="s">
        <v>941</v>
      </c>
      <c r="N22" s="1075" t="s">
        <v>3198</v>
      </c>
      <c r="Q22" s="1074"/>
      <c r="R22" s="1074"/>
      <c r="S22" s="1074"/>
      <c r="T22" s="1074"/>
      <c r="U22" s="1074"/>
      <c r="V22" s="1074"/>
      <c r="W22" s="1074"/>
      <c r="X22" s="1074"/>
      <c r="Y22" s="1074"/>
      <c r="Z22" s="1074"/>
      <c r="AA22" s="1074"/>
      <c r="AB22" s="1074"/>
      <c r="AC22" s="1074"/>
      <c r="AD22" s="1074"/>
      <c r="AE22" s="1074"/>
      <c r="AF22" s="1074"/>
      <c r="AG22" s="1095"/>
      <c r="AH22" s="1074"/>
      <c r="AI22" s="1074"/>
      <c r="AK22" s="1074"/>
      <c r="AL22" s="1109">
        <v>0.5</v>
      </c>
      <c r="AM22" s="1111">
        <v>0</v>
      </c>
      <c r="AP22" s="1080"/>
    </row>
    <row r="23" spans="1:43" outlineLevel="1" x14ac:dyDescent="0.2">
      <c r="B23" s="1078"/>
      <c r="F23" s="1088" t="s">
        <v>3077</v>
      </c>
      <c r="O23" s="1077">
        <f>SUBTOTAL(9,O12:O22)</f>
        <v>3.7</v>
      </c>
      <c r="Q23" s="1074">
        <f>SUBTOTAL(9,Q12:Q22)</f>
        <v>44078.020000000004</v>
      </c>
      <c r="R23" s="1074"/>
      <c r="S23" s="1074"/>
      <c r="T23" s="1074"/>
      <c r="U23" s="1074"/>
      <c r="V23" s="1074"/>
      <c r="W23" s="1074"/>
      <c r="X23" s="1074"/>
      <c r="Y23" s="1074"/>
      <c r="Z23" s="1074"/>
      <c r="AA23" s="1074"/>
      <c r="AB23" s="1074"/>
      <c r="AC23" s="1074"/>
      <c r="AD23" s="1074"/>
      <c r="AE23" s="1074"/>
      <c r="AF23" s="1074"/>
      <c r="AG23" s="1095">
        <f t="shared" ref="AG23:AM23" si="10">SUBTOTAL(9,AG12:AG22)</f>
        <v>424339.58000000007</v>
      </c>
      <c r="AH23" s="1074">
        <f t="shared" si="10"/>
        <v>132234.06</v>
      </c>
      <c r="AI23" s="1074">
        <f t="shared" si="10"/>
        <v>556573.64</v>
      </c>
      <c r="AJ23" s="1077">
        <f t="shared" si="10"/>
        <v>4.5999999999999996</v>
      </c>
      <c r="AK23" s="1074">
        <f t="shared" si="10"/>
        <v>539000</v>
      </c>
      <c r="AL23" s="1109">
        <f t="shared" si="10"/>
        <v>5.45</v>
      </c>
      <c r="AM23" s="1111">
        <f t="shared" si="10"/>
        <v>567705.1128</v>
      </c>
      <c r="AP23" s="1080">
        <f>SUBTOTAL(9,AP12:AP22)</f>
        <v>0</v>
      </c>
    </row>
    <row r="24" spans="1:43" outlineLevel="2" x14ac:dyDescent="0.2">
      <c r="A24" s="1075">
        <v>506</v>
      </c>
      <c r="B24" s="1075">
        <v>5250834</v>
      </c>
      <c r="C24" s="1075">
        <v>52508348</v>
      </c>
      <c r="D24" s="1075" t="s">
        <v>2230</v>
      </c>
      <c r="E24" s="1075" t="s">
        <v>1079</v>
      </c>
      <c r="F24" s="1075">
        <v>615100</v>
      </c>
      <c r="G24" s="1075" t="s">
        <v>2384</v>
      </c>
      <c r="H24" s="1075">
        <v>90534</v>
      </c>
      <c r="I24" s="1075">
        <v>0</v>
      </c>
      <c r="J24" s="1075">
        <v>5</v>
      </c>
      <c r="K24" s="1075">
        <v>7</v>
      </c>
      <c r="L24" s="1075">
        <v>0</v>
      </c>
      <c r="M24" s="1075" t="s">
        <v>941</v>
      </c>
      <c r="O24" s="1077">
        <f>300/900</f>
        <v>0.33333333333333331</v>
      </c>
      <c r="Q24" s="1074">
        <v>0</v>
      </c>
      <c r="R24" s="1074"/>
      <c r="S24" s="1074"/>
      <c r="T24" s="1074"/>
      <c r="U24" s="1074"/>
      <c r="V24" s="1074"/>
      <c r="W24" s="1074"/>
      <c r="X24" s="1074"/>
      <c r="Y24" s="1074"/>
      <c r="Z24" s="1074"/>
      <c r="AA24" s="1074"/>
      <c r="AB24" s="1074"/>
      <c r="AC24" s="1074"/>
      <c r="AD24" s="1074"/>
      <c r="AE24" s="1074"/>
      <c r="AF24" s="1074"/>
      <c r="AG24" s="1095">
        <f>VLOOKUP(B24,עזר!A$2:B$329,2,FALSE)</f>
        <v>74095.320000000007</v>
      </c>
      <c r="AH24" s="1074">
        <f>Q24*3</f>
        <v>0</v>
      </c>
      <c r="AI24" s="1074">
        <f>AH24+AG24</f>
        <v>74095.320000000007</v>
      </c>
      <c r="AJ24" s="1077">
        <f>VLOOKUP(B24,Sheet1!D$2:K$430,7,FALSE)</f>
        <v>0.6</v>
      </c>
      <c r="AK24" s="1074">
        <f>VLOOKUP(B24,Sheet1!D$2:L$430,8,FALSE)</f>
        <v>62000</v>
      </c>
      <c r="AL24" s="1109">
        <v>0</v>
      </c>
      <c r="AM24" s="1074">
        <v>0</v>
      </c>
      <c r="AN24" s="1085">
        <f>AL24</f>
        <v>0</v>
      </c>
      <c r="AO24" s="1077">
        <f>AM24</f>
        <v>0</v>
      </c>
      <c r="AP24" s="1080"/>
    </row>
    <row r="25" spans="1:43" outlineLevel="2" x14ac:dyDescent="0.2">
      <c r="A25" s="1075">
        <v>506</v>
      </c>
      <c r="B25" s="1078">
        <v>5574954</v>
      </c>
      <c r="C25" s="1075">
        <v>55749543</v>
      </c>
      <c r="D25" s="1075" t="s">
        <v>2260</v>
      </c>
      <c r="E25" s="1075" t="s">
        <v>2261</v>
      </c>
      <c r="F25" s="1075">
        <v>615100</v>
      </c>
      <c r="G25" s="1075" t="s">
        <v>2107</v>
      </c>
      <c r="H25" s="1075">
        <v>90534</v>
      </c>
      <c r="I25" s="1075">
        <v>0</v>
      </c>
      <c r="J25" s="1075">
        <v>5</v>
      </c>
      <c r="K25" s="1075">
        <v>5</v>
      </c>
      <c r="L25" s="1075">
        <v>0</v>
      </c>
      <c r="M25" s="1075" t="s">
        <v>941</v>
      </c>
      <c r="O25" s="1077">
        <f>P25/100</f>
        <v>0.5</v>
      </c>
      <c r="P25" s="1075">
        <v>50</v>
      </c>
      <c r="Q25" s="1074">
        <v>6516.28</v>
      </c>
      <c r="R25" s="1074">
        <v>916.75</v>
      </c>
      <c r="S25" s="1074">
        <v>174.12</v>
      </c>
      <c r="T25" s="1074">
        <v>5046.91</v>
      </c>
      <c r="U25" s="1074">
        <v>0</v>
      </c>
      <c r="V25" s="1074">
        <v>0</v>
      </c>
      <c r="W25" s="1074">
        <v>0</v>
      </c>
      <c r="X25" s="1074">
        <v>0</v>
      </c>
      <c r="Y25" s="1074">
        <v>234.85</v>
      </c>
      <c r="Z25" s="1074">
        <v>0</v>
      </c>
      <c r="AA25" s="1074">
        <v>4812.0600000000004</v>
      </c>
      <c r="AB25" s="1074">
        <v>378.5</v>
      </c>
      <c r="AC25" s="1074">
        <v>0</v>
      </c>
      <c r="AD25" s="1074">
        <v>0</v>
      </c>
      <c r="AE25" s="1074">
        <v>1615100</v>
      </c>
      <c r="AF25" s="1074" t="s">
        <v>251</v>
      </c>
      <c r="AG25" s="1095">
        <f>VLOOKUP(B25,עזר!A$2:B$329,2,FALSE)</f>
        <v>72495.77</v>
      </c>
      <c r="AH25" s="1074">
        <f>Q25*3</f>
        <v>19548.84</v>
      </c>
      <c r="AI25" s="1074">
        <f>AH25+AG25</f>
        <v>92044.61</v>
      </c>
      <c r="AJ25" s="1077">
        <f>VLOOKUP(B25,Sheet1!D$2:K$430,7,FALSE)</f>
        <v>0.6</v>
      </c>
      <c r="AK25" s="1074">
        <f>VLOOKUP(B25,Sheet1!D$2:L$430,8,FALSE)</f>
        <v>91000</v>
      </c>
      <c r="AL25" s="1109">
        <f>O25</f>
        <v>0.5</v>
      </c>
      <c r="AM25" s="1074">
        <f>AI25*1.02</f>
        <v>93885.502200000003</v>
      </c>
      <c r="AN25" s="1085">
        <f>AL25</f>
        <v>0.5</v>
      </c>
      <c r="AO25" s="1074">
        <f>AM25</f>
        <v>93885.502200000003</v>
      </c>
      <c r="AP25" s="1080"/>
    </row>
    <row r="26" spans="1:43" outlineLevel="1" x14ac:dyDescent="0.2">
      <c r="B26" s="1078"/>
      <c r="F26" s="1088" t="s">
        <v>3078</v>
      </c>
      <c r="O26" s="1077">
        <f>SUBTOTAL(9,O24:O25)</f>
        <v>0.83333333333333326</v>
      </c>
      <c r="Q26" s="1074">
        <f>SUBTOTAL(9,Q24:Q25)</f>
        <v>6516.28</v>
      </c>
      <c r="R26" s="1074"/>
      <c r="S26" s="1074"/>
      <c r="T26" s="1074"/>
      <c r="U26" s="1074"/>
      <c r="V26" s="1074"/>
      <c r="W26" s="1074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95">
        <f t="shared" ref="AG26:AM26" si="11">SUBTOTAL(9,AG24:AG25)</f>
        <v>146591.09000000003</v>
      </c>
      <c r="AH26" s="1074">
        <f t="shared" si="11"/>
        <v>19548.84</v>
      </c>
      <c r="AI26" s="1074">
        <f t="shared" si="11"/>
        <v>166139.93</v>
      </c>
      <c r="AJ26" s="1077">
        <f t="shared" si="11"/>
        <v>1.2</v>
      </c>
      <c r="AK26" s="1074">
        <f t="shared" si="11"/>
        <v>153000</v>
      </c>
      <c r="AL26" s="1109">
        <f t="shared" si="11"/>
        <v>0.5</v>
      </c>
      <c r="AM26" s="1074">
        <f t="shared" si="11"/>
        <v>93885.502200000003</v>
      </c>
      <c r="AP26" s="1080">
        <f>SUBTOTAL(9,AP24:AP25)</f>
        <v>0</v>
      </c>
    </row>
    <row r="27" spans="1:43" outlineLevel="2" x14ac:dyDescent="0.2">
      <c r="A27" s="1075">
        <v>506</v>
      </c>
      <c r="B27" s="1078">
        <v>3408301</v>
      </c>
      <c r="C27" s="1075">
        <v>34083014</v>
      </c>
      <c r="D27" s="1075" t="s">
        <v>2262</v>
      </c>
      <c r="E27" s="1075" t="s">
        <v>2223</v>
      </c>
      <c r="F27" s="1075">
        <v>621000</v>
      </c>
      <c r="G27" s="1075" t="s">
        <v>2107</v>
      </c>
      <c r="H27" s="1075">
        <v>90534</v>
      </c>
      <c r="I27" s="1075">
        <v>0</v>
      </c>
      <c r="J27" s="1075">
        <v>39</v>
      </c>
      <c r="K27" s="1075">
        <v>3</v>
      </c>
      <c r="L27" s="1075">
        <v>0</v>
      </c>
      <c r="M27" s="1075" t="s">
        <v>972</v>
      </c>
      <c r="O27" s="1077">
        <f>P27/100</f>
        <v>0.75</v>
      </c>
      <c r="P27" s="1075">
        <v>75</v>
      </c>
      <c r="Q27" s="1074">
        <v>24397.75</v>
      </c>
      <c r="R27" s="1074">
        <v>3494.1</v>
      </c>
      <c r="S27" s="1074">
        <v>1150.4000000000001</v>
      </c>
      <c r="T27" s="1074">
        <v>18367.8</v>
      </c>
      <c r="U27" s="1074">
        <v>346.9</v>
      </c>
      <c r="V27" s="1074">
        <v>0</v>
      </c>
      <c r="W27" s="1074">
        <v>0</v>
      </c>
      <c r="X27" s="1074">
        <v>2124.4</v>
      </c>
      <c r="Y27" s="1074">
        <v>919.8</v>
      </c>
      <c r="Z27" s="1074">
        <v>0</v>
      </c>
      <c r="AA27" s="1074">
        <v>14976.7</v>
      </c>
      <c r="AB27" s="1074">
        <v>1385.45</v>
      </c>
      <c r="AC27" s="1074">
        <v>0</v>
      </c>
      <c r="AD27" s="1074">
        <v>0</v>
      </c>
      <c r="AE27" s="1074">
        <v>1621000</v>
      </c>
      <c r="AF27" s="1074" t="s">
        <v>251</v>
      </c>
      <c r="AG27" s="1095">
        <f>VLOOKUP(B27,עזר!A$2:B$329,2,FALSE)</f>
        <v>235938.94</v>
      </c>
      <c r="AH27" s="1074">
        <f>Q27*3</f>
        <v>73193.25</v>
      </c>
      <c r="AI27" s="1074">
        <f>AH27+AG27</f>
        <v>309132.19</v>
      </c>
      <c r="AJ27" s="1077">
        <f>VLOOKUP(B27,Sheet1!D$2:K$430,7,FALSE)</f>
        <v>1</v>
      </c>
      <c r="AK27" s="1074">
        <f>VLOOKUP(B27,Sheet1!D$2:L$430,8,FALSE)</f>
        <v>356666.66666666669</v>
      </c>
      <c r="AL27" s="1109">
        <v>1</v>
      </c>
      <c r="AM27" s="1111">
        <f>(((AI27/0.75)/0.7)*0.85)*0.5+AI27*0.5</f>
        <v>404815.96309523814</v>
      </c>
      <c r="AN27" s="1085">
        <f>AL27</f>
        <v>1</v>
      </c>
      <c r="AO27" s="1074">
        <f>AM27</f>
        <v>404815.96309523814</v>
      </c>
      <c r="AP27" s="1080"/>
      <c r="AQ27" s="1126">
        <f>(AI27/0.75)/0.7*0.85</f>
        <v>500499.73619047628</v>
      </c>
    </row>
    <row r="28" spans="1:43" outlineLevel="1" x14ac:dyDescent="0.2">
      <c r="B28" s="1078"/>
      <c r="F28" s="1088" t="s">
        <v>3079</v>
      </c>
      <c r="O28" s="1077">
        <f>SUBTOTAL(9,O27:O27)</f>
        <v>0.75</v>
      </c>
      <c r="Q28" s="1074">
        <f>SUBTOTAL(9,Q27:Q27)</f>
        <v>24397.75</v>
      </c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74"/>
      <c r="AE28" s="1074"/>
      <c r="AF28" s="1074"/>
      <c r="AG28" s="1095">
        <f t="shared" ref="AG28:AM28" si="12">SUBTOTAL(9,AG27:AG27)</f>
        <v>235938.94</v>
      </c>
      <c r="AH28" s="1074">
        <f t="shared" si="12"/>
        <v>73193.25</v>
      </c>
      <c r="AI28" s="1074">
        <f t="shared" si="12"/>
        <v>309132.19</v>
      </c>
      <c r="AJ28" s="1077">
        <f t="shared" si="12"/>
        <v>1</v>
      </c>
      <c r="AK28" s="1074">
        <f t="shared" si="12"/>
        <v>356666.66666666669</v>
      </c>
      <c r="AL28" s="1109">
        <f t="shared" si="12"/>
        <v>1</v>
      </c>
      <c r="AM28" s="1111">
        <f t="shared" si="12"/>
        <v>404815.96309523814</v>
      </c>
      <c r="AP28" s="1080">
        <f>SUBTOTAL(9,AP27:AP27)</f>
        <v>0</v>
      </c>
    </row>
    <row r="29" spans="1:43" outlineLevel="2" x14ac:dyDescent="0.2">
      <c r="A29" s="1075">
        <v>506</v>
      </c>
      <c r="B29" s="1078">
        <v>5517362</v>
      </c>
      <c r="C29" s="1075">
        <v>55173629</v>
      </c>
      <c r="D29" s="1075" t="s">
        <v>2263</v>
      </c>
      <c r="E29" s="1075" t="s">
        <v>2264</v>
      </c>
      <c r="F29" s="1075">
        <v>621500</v>
      </c>
      <c r="G29" s="1075" t="s">
        <v>2107</v>
      </c>
      <c r="H29" s="1075">
        <v>90534</v>
      </c>
      <c r="I29" s="1075">
        <v>0</v>
      </c>
      <c r="J29" s="1075">
        <v>5</v>
      </c>
      <c r="K29" s="1075">
        <v>41</v>
      </c>
      <c r="L29" s="1075">
        <v>0</v>
      </c>
      <c r="M29" s="1075" t="s">
        <v>386</v>
      </c>
      <c r="O29" s="1077">
        <f>P29/100</f>
        <v>1</v>
      </c>
      <c r="P29" s="1075">
        <v>100</v>
      </c>
      <c r="Q29" s="1074">
        <v>20505.169999999998</v>
      </c>
      <c r="R29" s="1074">
        <v>1064.0999999999999</v>
      </c>
      <c r="S29" s="1074">
        <v>1049.8900000000001</v>
      </c>
      <c r="T29" s="1074">
        <v>17106.23</v>
      </c>
      <c r="U29" s="1074">
        <v>0</v>
      </c>
      <c r="V29" s="1074">
        <v>0</v>
      </c>
      <c r="W29" s="1074">
        <v>0</v>
      </c>
      <c r="X29" s="1074">
        <v>1772.7</v>
      </c>
      <c r="Y29" s="1074">
        <v>261.60000000000002</v>
      </c>
      <c r="Z29" s="1074">
        <v>0</v>
      </c>
      <c r="AA29" s="1074">
        <v>15071.93</v>
      </c>
      <c r="AB29" s="1074">
        <v>1284.95</v>
      </c>
      <c r="AC29" s="1074">
        <v>0</v>
      </c>
      <c r="AD29" s="1074">
        <v>0</v>
      </c>
      <c r="AE29" s="1074">
        <v>1621500</v>
      </c>
      <c r="AF29" s="1074" t="s">
        <v>251</v>
      </c>
      <c r="AG29" s="1095">
        <f>VLOOKUP(B29,עזר!A$2:B$329,2,FALSE)</f>
        <v>146084.85999999999</v>
      </c>
      <c r="AH29" s="1074">
        <f>Q29*3</f>
        <v>61515.509999999995</v>
      </c>
      <c r="AI29" s="1074">
        <f>AH29+AG29</f>
        <v>207600.37</v>
      </c>
      <c r="AJ29" s="1077">
        <f>VLOOKUP(B29,Sheet1!D$2:K$430,7,FALSE)</f>
        <v>1</v>
      </c>
      <c r="AK29" s="1074">
        <f>VLOOKUP(B29,Sheet1!D$2:L$430,8,FALSE)</f>
        <v>178000</v>
      </c>
      <c r="AL29" s="1109">
        <f>O29</f>
        <v>1</v>
      </c>
      <c r="AM29" s="1074">
        <f>AI29*1.02</f>
        <v>211752.3774</v>
      </c>
      <c r="AN29" s="1085">
        <f>AL29</f>
        <v>1</v>
      </c>
      <c r="AO29" s="1074">
        <f>AM29</f>
        <v>211752.3774</v>
      </c>
      <c r="AP29" s="1080"/>
    </row>
    <row r="30" spans="1:43" outlineLevel="1" x14ac:dyDescent="0.2">
      <c r="B30" s="1078"/>
      <c r="F30" s="1088" t="s">
        <v>3080</v>
      </c>
      <c r="O30" s="1077">
        <f>SUBTOTAL(9,O29:O29)</f>
        <v>1</v>
      </c>
      <c r="Q30" s="1074">
        <f>SUBTOTAL(9,Q29:Q29)</f>
        <v>20505.169999999998</v>
      </c>
      <c r="R30" s="1074"/>
      <c r="S30" s="1074"/>
      <c r="T30" s="1074"/>
      <c r="U30" s="1074"/>
      <c r="V30" s="1074"/>
      <c r="W30" s="1074"/>
      <c r="X30" s="1074"/>
      <c r="Y30" s="1074"/>
      <c r="Z30" s="1074"/>
      <c r="AA30" s="1074"/>
      <c r="AB30" s="1074"/>
      <c r="AC30" s="1074"/>
      <c r="AD30" s="1074"/>
      <c r="AE30" s="1074"/>
      <c r="AF30" s="1074"/>
      <c r="AG30" s="1095">
        <f t="shared" ref="AG30:AM30" si="13">SUBTOTAL(9,AG29:AG29)</f>
        <v>146084.85999999999</v>
      </c>
      <c r="AH30" s="1074">
        <f t="shared" si="13"/>
        <v>61515.509999999995</v>
      </c>
      <c r="AI30" s="1074">
        <f t="shared" si="13"/>
        <v>207600.37</v>
      </c>
      <c r="AJ30" s="1077">
        <f t="shared" si="13"/>
        <v>1</v>
      </c>
      <c r="AK30" s="1074">
        <f t="shared" si="13"/>
        <v>178000</v>
      </c>
      <c r="AL30" s="1109">
        <f t="shared" si="13"/>
        <v>1</v>
      </c>
      <c r="AM30" s="1074">
        <f t="shared" si="13"/>
        <v>211752.3774</v>
      </c>
      <c r="AP30" s="1080">
        <f>SUBTOTAL(9,AP29:AP29)</f>
        <v>0</v>
      </c>
    </row>
    <row r="31" spans="1:43" outlineLevel="2" x14ac:dyDescent="0.2">
      <c r="A31" s="1075">
        <v>506</v>
      </c>
      <c r="B31" s="1078">
        <v>2332248</v>
      </c>
      <c r="C31" s="1075">
        <v>23322480</v>
      </c>
      <c r="D31" s="1075" t="s">
        <v>1374</v>
      </c>
      <c r="E31" s="1075" t="s">
        <v>2265</v>
      </c>
      <c r="F31" s="1075">
        <v>623000</v>
      </c>
      <c r="G31" s="1075" t="s">
        <v>2107</v>
      </c>
      <c r="H31" s="1075">
        <v>90534</v>
      </c>
      <c r="I31" s="1075">
        <v>0</v>
      </c>
      <c r="J31" s="1075">
        <v>5</v>
      </c>
      <c r="K31" s="1075">
        <v>9</v>
      </c>
      <c r="L31" s="1075">
        <v>0</v>
      </c>
      <c r="M31" s="1075" t="s">
        <v>980</v>
      </c>
      <c r="O31" s="1077">
        <f>P31/100</f>
        <v>1</v>
      </c>
      <c r="P31" s="1075">
        <v>100</v>
      </c>
      <c r="Q31" s="1074">
        <v>9455.01</v>
      </c>
      <c r="R31" s="1074">
        <v>713.5</v>
      </c>
      <c r="S31" s="1074">
        <v>350.37</v>
      </c>
      <c r="T31" s="1074">
        <v>7805.69</v>
      </c>
      <c r="U31" s="1074">
        <v>183.1</v>
      </c>
      <c r="V31" s="1074">
        <v>0</v>
      </c>
      <c r="W31" s="1074">
        <v>0</v>
      </c>
      <c r="X31" s="1074">
        <v>0</v>
      </c>
      <c r="Y31" s="1074">
        <v>261.60000000000002</v>
      </c>
      <c r="Z31" s="1074">
        <v>0</v>
      </c>
      <c r="AA31" s="1074">
        <v>7360.99</v>
      </c>
      <c r="AB31" s="1074">
        <v>585.45000000000005</v>
      </c>
      <c r="AC31" s="1074">
        <v>0</v>
      </c>
      <c r="AD31" s="1074">
        <v>0</v>
      </c>
      <c r="AE31" s="1074">
        <v>1623000</v>
      </c>
      <c r="AF31" s="1074" t="s">
        <v>251</v>
      </c>
      <c r="AG31" s="1095">
        <f>VLOOKUP(B31,עזר!A$2:B$329,2,FALSE)</f>
        <v>99109.440000000002</v>
      </c>
      <c r="AH31" s="1074">
        <f>Q31*3</f>
        <v>28365.03</v>
      </c>
      <c r="AI31" s="1074">
        <f>AH31+AG31</f>
        <v>127474.47</v>
      </c>
      <c r="AJ31" s="1077">
        <f>VLOOKUP(B31,Sheet1!D$2:K$430,7,FALSE)</f>
        <v>1</v>
      </c>
      <c r="AK31" s="1074">
        <f>VLOOKUP(B31,Sheet1!D$2:L$430,8,FALSE)</f>
        <v>134000</v>
      </c>
      <c r="AL31" s="1109">
        <f>O31</f>
        <v>1</v>
      </c>
      <c r="AM31" s="1074">
        <f>AI31*1.02</f>
        <v>130023.95940000001</v>
      </c>
      <c r="AN31" s="1085">
        <f t="shared" ref="AN31:AO33" si="14">AL31</f>
        <v>1</v>
      </c>
      <c r="AO31" s="1074">
        <f t="shared" si="14"/>
        <v>130023.95940000001</v>
      </c>
      <c r="AP31" s="1080"/>
    </row>
    <row r="32" spans="1:43" outlineLevel="2" x14ac:dyDescent="0.2">
      <c r="A32" s="1075">
        <v>506</v>
      </c>
      <c r="B32" s="1078">
        <v>3443023</v>
      </c>
      <c r="C32" s="1075">
        <v>34430231</v>
      </c>
      <c r="D32" s="1075" t="s">
        <v>2224</v>
      </c>
      <c r="E32" s="1075" t="s">
        <v>2266</v>
      </c>
      <c r="F32" s="1075">
        <v>623000</v>
      </c>
      <c r="G32" s="1075" t="s">
        <v>2107</v>
      </c>
      <c r="H32" s="1075">
        <v>90534</v>
      </c>
      <c r="I32" s="1075">
        <v>0</v>
      </c>
      <c r="J32" s="1075">
        <v>5</v>
      </c>
      <c r="K32" s="1075">
        <v>7</v>
      </c>
      <c r="L32" s="1075">
        <v>0</v>
      </c>
      <c r="M32" s="1075" t="s">
        <v>980</v>
      </c>
      <c r="O32" s="1077">
        <f>P32/100</f>
        <v>1</v>
      </c>
      <c r="P32" s="1075">
        <v>100</v>
      </c>
      <c r="Q32" s="1074">
        <v>7888.33</v>
      </c>
      <c r="R32" s="1074">
        <v>640.95000000000005</v>
      </c>
      <c r="S32" s="1074">
        <v>252.92</v>
      </c>
      <c r="T32" s="1074">
        <v>6506.46</v>
      </c>
      <c r="U32" s="1074">
        <v>0</v>
      </c>
      <c r="V32" s="1074">
        <v>0</v>
      </c>
      <c r="W32" s="1074">
        <v>0</v>
      </c>
      <c r="X32" s="1074">
        <v>0</v>
      </c>
      <c r="Y32" s="1074">
        <v>193.85</v>
      </c>
      <c r="Z32" s="1074">
        <v>0</v>
      </c>
      <c r="AA32" s="1074">
        <v>6312.61</v>
      </c>
      <c r="AB32" s="1074">
        <v>488</v>
      </c>
      <c r="AC32" s="1074">
        <v>0</v>
      </c>
      <c r="AD32" s="1074">
        <v>0</v>
      </c>
      <c r="AE32" s="1074">
        <v>1623000</v>
      </c>
      <c r="AF32" s="1074" t="s">
        <v>251</v>
      </c>
      <c r="AG32" s="1095">
        <f>VLOOKUP(B32,עזר!A$2:B$329,2,FALSE)</f>
        <v>78341.159999999989</v>
      </c>
      <c r="AH32" s="1074">
        <f>Q32*3</f>
        <v>23664.989999999998</v>
      </c>
      <c r="AI32" s="1074">
        <f>AH32+AG32</f>
        <v>102006.15</v>
      </c>
      <c r="AJ32" s="1077">
        <f>VLOOKUP(B32,Sheet1!D$2:K$430,7,FALSE)</f>
        <v>1</v>
      </c>
      <c r="AK32" s="1074">
        <f>VLOOKUP(B32,Sheet1!D$2:L$430,8,FALSE)</f>
        <v>54312.416666666672</v>
      </c>
      <c r="AL32" s="1109">
        <f>O32</f>
        <v>1</v>
      </c>
      <c r="AM32" s="1074">
        <f>AI32*1.02</f>
        <v>104046.273</v>
      </c>
      <c r="AN32" s="1085">
        <f t="shared" si="14"/>
        <v>1</v>
      </c>
      <c r="AO32" s="1074">
        <f t="shared" si="14"/>
        <v>104046.273</v>
      </c>
      <c r="AP32" s="1080"/>
    </row>
    <row r="33" spans="1:42" outlineLevel="2" x14ac:dyDescent="0.2">
      <c r="A33" s="1075">
        <v>506</v>
      </c>
      <c r="B33" s="1078">
        <v>5854368</v>
      </c>
      <c r="C33" s="1075">
        <v>58543687</v>
      </c>
      <c r="D33" s="1075" t="s">
        <v>2131</v>
      </c>
      <c r="E33" s="1075" t="s">
        <v>2267</v>
      </c>
      <c r="F33" s="1075">
        <v>623000</v>
      </c>
      <c r="G33" s="1075" t="s">
        <v>2107</v>
      </c>
      <c r="H33" s="1075">
        <v>90534</v>
      </c>
      <c r="I33" s="1075">
        <v>0</v>
      </c>
      <c r="J33" s="1075">
        <v>5</v>
      </c>
      <c r="K33" s="1075">
        <v>38</v>
      </c>
      <c r="L33" s="1075">
        <v>0</v>
      </c>
      <c r="M33" s="1075" t="s">
        <v>980</v>
      </c>
      <c r="O33" s="1077">
        <f>P33/100</f>
        <v>1</v>
      </c>
      <c r="P33" s="1075">
        <v>100</v>
      </c>
      <c r="Q33" s="1074">
        <v>8323.7000000000007</v>
      </c>
      <c r="R33" s="1074">
        <v>674.5</v>
      </c>
      <c r="S33" s="1074">
        <v>285.98</v>
      </c>
      <c r="T33" s="1074">
        <v>6842.17</v>
      </c>
      <c r="U33" s="1074">
        <v>0</v>
      </c>
      <c r="V33" s="1074">
        <v>0</v>
      </c>
      <c r="W33" s="1074">
        <v>0</v>
      </c>
      <c r="X33" s="1074">
        <v>0</v>
      </c>
      <c r="Y33" s="1074">
        <v>193.9</v>
      </c>
      <c r="Z33" s="1074">
        <v>0</v>
      </c>
      <c r="AA33" s="1074">
        <v>6648.27</v>
      </c>
      <c r="AB33" s="1074">
        <v>521.04999999999995</v>
      </c>
      <c r="AC33" s="1074">
        <v>0</v>
      </c>
      <c r="AD33" s="1074">
        <v>0</v>
      </c>
      <c r="AE33" s="1074">
        <v>1623000</v>
      </c>
      <c r="AF33" s="1074" t="s">
        <v>251</v>
      </c>
      <c r="AG33" s="1095">
        <f>VLOOKUP(B33,עזר!A$2:B$329,2,FALSE)</f>
        <v>97635.64</v>
      </c>
      <c r="AH33" s="1074">
        <f>Q33*3</f>
        <v>24971.100000000002</v>
      </c>
      <c r="AI33" s="1074">
        <f>AH33+AG33</f>
        <v>122606.74</v>
      </c>
      <c r="AJ33" s="1077">
        <f>VLOOKUP(B33,Sheet1!D$2:K$430,7,FALSE)</f>
        <v>1</v>
      </c>
      <c r="AK33" s="1074">
        <f>VLOOKUP(B33,Sheet1!D$2:L$430,8,FALSE)</f>
        <v>110000</v>
      </c>
      <c r="AL33" s="1109">
        <f>O33</f>
        <v>1</v>
      </c>
      <c r="AM33" s="1074">
        <f>AI33*1.02</f>
        <v>125058.87480000001</v>
      </c>
      <c r="AN33" s="1085">
        <f t="shared" si="14"/>
        <v>1</v>
      </c>
      <c r="AO33" s="1074">
        <f t="shared" si="14"/>
        <v>125058.87480000001</v>
      </c>
      <c r="AP33" s="1080"/>
    </row>
    <row r="34" spans="1:42" outlineLevel="2" x14ac:dyDescent="0.2">
      <c r="A34" s="1075">
        <v>506</v>
      </c>
      <c r="B34" s="1078"/>
      <c r="D34" s="1110" t="s">
        <v>758</v>
      </c>
      <c r="E34" s="1110" t="s">
        <v>758</v>
      </c>
      <c r="F34" s="1075">
        <v>623000</v>
      </c>
      <c r="M34" s="1075" t="s">
        <v>980</v>
      </c>
      <c r="N34" s="1075" t="s">
        <v>3146</v>
      </c>
      <c r="O34" s="1077">
        <v>0</v>
      </c>
      <c r="Q34" s="1074">
        <v>0</v>
      </c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  <c r="AB34" s="1074"/>
      <c r="AC34" s="1074"/>
      <c r="AD34" s="1074"/>
      <c r="AE34" s="1074"/>
      <c r="AF34" s="1074"/>
      <c r="AG34" s="1095">
        <v>0</v>
      </c>
      <c r="AH34" s="1074">
        <v>0</v>
      </c>
      <c r="AI34" s="1074">
        <v>0</v>
      </c>
      <c r="AJ34" s="1077">
        <v>0</v>
      </c>
      <c r="AK34" s="1074">
        <v>0</v>
      </c>
      <c r="AL34" s="1109">
        <v>1</v>
      </c>
      <c r="AM34" s="1111">
        <v>0</v>
      </c>
      <c r="AN34" s="1085">
        <v>1</v>
      </c>
      <c r="AO34" s="1074">
        <v>120000</v>
      </c>
      <c r="AP34" s="1080"/>
    </row>
    <row r="35" spans="1:42" outlineLevel="1" x14ac:dyDescent="0.2">
      <c r="B35" s="1078"/>
      <c r="F35" s="1088" t="s">
        <v>3081</v>
      </c>
      <c r="O35" s="1077">
        <f>SUBTOTAL(9,O31:O34)</f>
        <v>3</v>
      </c>
      <c r="Q35" s="1074">
        <f>SUBTOTAL(9,Q31:Q34)</f>
        <v>25667.040000000001</v>
      </c>
      <c r="R35" s="1074"/>
      <c r="S35" s="1074"/>
      <c r="T35" s="1074"/>
      <c r="U35" s="1074"/>
      <c r="V35" s="1074"/>
      <c r="W35" s="1074"/>
      <c r="X35" s="1074"/>
      <c r="Y35" s="1074"/>
      <c r="Z35" s="1074"/>
      <c r="AA35" s="1074"/>
      <c r="AB35" s="1074"/>
      <c r="AC35" s="1074"/>
      <c r="AD35" s="1074"/>
      <c r="AE35" s="1074"/>
      <c r="AF35" s="1074"/>
      <c r="AG35" s="1095">
        <f t="shared" ref="AG35:AM35" si="15">SUBTOTAL(9,AG31:AG34)</f>
        <v>275086.24</v>
      </c>
      <c r="AH35" s="1074">
        <f t="shared" si="15"/>
        <v>77001.119999999995</v>
      </c>
      <c r="AI35" s="1074">
        <f t="shared" si="15"/>
        <v>352087.36</v>
      </c>
      <c r="AJ35" s="1077">
        <f t="shared" si="15"/>
        <v>3</v>
      </c>
      <c r="AK35" s="1074">
        <f t="shared" si="15"/>
        <v>298312.41666666669</v>
      </c>
      <c r="AL35" s="1109">
        <f t="shared" si="15"/>
        <v>4</v>
      </c>
      <c r="AM35" s="1111">
        <f t="shared" si="15"/>
        <v>359129.10720000003</v>
      </c>
      <c r="AP35" s="1080">
        <f>SUBTOTAL(9,AP31:AP34)</f>
        <v>0</v>
      </c>
    </row>
    <row r="36" spans="1:42" outlineLevel="2" x14ac:dyDescent="0.2">
      <c r="A36" s="1075">
        <v>506</v>
      </c>
      <c r="B36" s="1078">
        <v>5891124</v>
      </c>
      <c r="C36" s="1075">
        <v>58911249</v>
      </c>
      <c r="D36" s="1075" t="s">
        <v>932</v>
      </c>
      <c r="E36" s="1075" t="s">
        <v>2268</v>
      </c>
      <c r="F36" s="1075">
        <v>711100</v>
      </c>
      <c r="G36" s="1075" t="s">
        <v>2107</v>
      </c>
      <c r="H36" s="1075">
        <v>90534</v>
      </c>
      <c r="I36" s="1075">
        <v>0</v>
      </c>
      <c r="J36" s="1075">
        <v>5</v>
      </c>
      <c r="K36" s="1075">
        <v>8</v>
      </c>
      <c r="L36" s="1075">
        <v>0</v>
      </c>
      <c r="M36" s="1075" t="s">
        <v>124</v>
      </c>
      <c r="O36" s="1077">
        <f>P36/100</f>
        <v>1</v>
      </c>
      <c r="P36" s="1075">
        <v>100</v>
      </c>
      <c r="Q36" s="1074">
        <v>9437.9</v>
      </c>
      <c r="R36" s="1074">
        <v>688.1</v>
      </c>
      <c r="S36" s="1074">
        <v>530.64</v>
      </c>
      <c r="T36" s="1074">
        <v>7453.46</v>
      </c>
      <c r="U36" s="1074">
        <v>0</v>
      </c>
      <c r="V36" s="1074">
        <v>0</v>
      </c>
      <c r="W36" s="1074">
        <v>0</v>
      </c>
      <c r="X36" s="1074">
        <v>0</v>
      </c>
      <c r="Y36" s="1074">
        <v>48.6</v>
      </c>
      <c r="Z36" s="1074">
        <v>753.3</v>
      </c>
      <c r="AA36" s="1074">
        <v>6651.56</v>
      </c>
      <c r="AB36" s="1074">
        <v>765.7</v>
      </c>
      <c r="AC36" s="1074">
        <v>0</v>
      </c>
      <c r="AD36" s="1074">
        <v>0</v>
      </c>
      <c r="AE36" s="1074">
        <v>1711100</v>
      </c>
      <c r="AF36" s="1074" t="s">
        <v>251</v>
      </c>
      <c r="AG36" s="1095">
        <f>VLOOKUP(B36,עזר!A$2:B$329,2,FALSE)</f>
        <v>94934.42</v>
      </c>
      <c r="AH36" s="1074">
        <f>Q36*3</f>
        <v>28313.699999999997</v>
      </c>
      <c r="AI36" s="1074">
        <f>AH36+AG36</f>
        <v>123248.12</v>
      </c>
      <c r="AJ36" s="1077">
        <f>VLOOKUP(B36,Sheet1!D$2:K$430,7,FALSE)</f>
        <v>1</v>
      </c>
      <c r="AK36" s="1074">
        <f>VLOOKUP(B36,Sheet1!D$2:L$430,8,FALSE)</f>
        <v>120000</v>
      </c>
      <c r="AL36" s="1109">
        <f>O36</f>
        <v>1</v>
      </c>
      <c r="AM36" s="1074">
        <f>AI36*1.02</f>
        <v>125713.0824</v>
      </c>
      <c r="AN36" s="1085">
        <f>AL36</f>
        <v>1</v>
      </c>
      <c r="AO36" s="1074">
        <f>AM36</f>
        <v>125713.0824</v>
      </c>
      <c r="AP36" s="1080"/>
    </row>
    <row r="37" spans="1:42" outlineLevel="2" x14ac:dyDescent="0.2">
      <c r="A37" s="1075">
        <v>506</v>
      </c>
      <c r="B37" s="1078">
        <v>2474642</v>
      </c>
      <c r="C37" s="1075">
        <v>24746422</v>
      </c>
      <c r="D37" s="1075" t="s">
        <v>2198</v>
      </c>
      <c r="E37" s="1075" t="s">
        <v>2300</v>
      </c>
      <c r="F37" s="1075">
        <v>711100</v>
      </c>
      <c r="G37" s="1075" t="s">
        <v>2107</v>
      </c>
      <c r="H37" s="1075">
        <v>90534</v>
      </c>
      <c r="I37" s="1075">
        <v>0</v>
      </c>
      <c r="J37" s="1075">
        <v>5</v>
      </c>
      <c r="K37" s="1075">
        <v>6</v>
      </c>
      <c r="L37" s="1075">
        <v>0</v>
      </c>
      <c r="M37" s="1075" t="s">
        <v>3158</v>
      </c>
      <c r="Q37" s="1074"/>
      <c r="R37" s="1074"/>
      <c r="S37" s="1074"/>
      <c r="T37" s="1074"/>
      <c r="U37" s="1074"/>
      <c r="V37" s="1074"/>
      <c r="W37" s="1074"/>
      <c r="X37" s="1074"/>
      <c r="Y37" s="1074"/>
      <c r="Z37" s="1074"/>
      <c r="AA37" s="1074"/>
      <c r="AB37" s="1074"/>
      <c r="AC37" s="1074"/>
      <c r="AD37" s="1074"/>
      <c r="AE37" s="1074"/>
      <c r="AF37" s="1074"/>
      <c r="AG37" s="1095"/>
      <c r="AH37" s="1074"/>
      <c r="AI37" s="1074"/>
      <c r="AK37" s="1074"/>
      <c r="AL37" s="1109">
        <v>1</v>
      </c>
      <c r="AM37" s="1074">
        <v>97034</v>
      </c>
      <c r="AN37" s="1085">
        <v>1</v>
      </c>
      <c r="AO37" s="1074">
        <v>97034</v>
      </c>
      <c r="AP37" s="1080"/>
    </row>
    <row r="38" spans="1:42" outlineLevel="1" x14ac:dyDescent="0.2">
      <c r="B38" s="1078"/>
      <c r="F38" s="1088" t="s">
        <v>3082</v>
      </c>
      <c r="O38" s="1077">
        <f>SUBTOTAL(9,O36:O37)</f>
        <v>1</v>
      </c>
      <c r="Q38" s="1074">
        <f>SUBTOTAL(9,Q36:Q37)</f>
        <v>9437.9</v>
      </c>
      <c r="R38" s="1074"/>
      <c r="S38" s="1074"/>
      <c r="T38" s="1074"/>
      <c r="U38" s="1074"/>
      <c r="V38" s="1074"/>
      <c r="W38" s="1074"/>
      <c r="X38" s="1074"/>
      <c r="Y38" s="1074"/>
      <c r="Z38" s="1074"/>
      <c r="AA38" s="1074"/>
      <c r="AB38" s="1074"/>
      <c r="AC38" s="1074"/>
      <c r="AD38" s="1074"/>
      <c r="AE38" s="1074"/>
      <c r="AF38" s="1074"/>
      <c r="AG38" s="1095">
        <f t="shared" ref="AG38:AM38" si="16">SUBTOTAL(9,AG36:AG37)</f>
        <v>94934.42</v>
      </c>
      <c r="AH38" s="1074">
        <f t="shared" si="16"/>
        <v>28313.699999999997</v>
      </c>
      <c r="AI38" s="1074">
        <f t="shared" si="16"/>
        <v>123248.12</v>
      </c>
      <c r="AJ38" s="1077">
        <f t="shared" si="16"/>
        <v>1</v>
      </c>
      <c r="AK38" s="1074">
        <f t="shared" si="16"/>
        <v>120000</v>
      </c>
      <c r="AL38" s="1109">
        <f t="shared" si="16"/>
        <v>2</v>
      </c>
      <c r="AM38" s="1074">
        <f t="shared" si="16"/>
        <v>222747.08240000001</v>
      </c>
      <c r="AP38" s="1080">
        <f>SUBTOTAL(9,AP36:AP37)</f>
        <v>0</v>
      </c>
    </row>
    <row r="39" spans="1:42" outlineLevel="2" x14ac:dyDescent="0.2">
      <c r="A39" s="1075">
        <v>506</v>
      </c>
      <c r="B39" s="1078">
        <v>5763017</v>
      </c>
      <c r="C39" s="1075">
        <v>57630170</v>
      </c>
      <c r="D39" s="1075" t="s">
        <v>2106</v>
      </c>
      <c r="E39" s="1075" t="s">
        <v>2269</v>
      </c>
      <c r="F39" s="1075">
        <v>712200</v>
      </c>
      <c r="G39" s="1075" t="s">
        <v>2107</v>
      </c>
      <c r="H39" s="1075">
        <v>90534</v>
      </c>
      <c r="I39" s="1075">
        <v>0</v>
      </c>
      <c r="J39" s="1075">
        <v>5</v>
      </c>
      <c r="K39" s="1075">
        <v>37</v>
      </c>
      <c r="L39" s="1075">
        <v>0</v>
      </c>
      <c r="M39" s="1075" t="s">
        <v>124</v>
      </c>
      <c r="O39" s="1077">
        <f>P39/100</f>
        <v>1</v>
      </c>
      <c r="P39" s="1075">
        <v>100</v>
      </c>
      <c r="Q39" s="1074">
        <v>7625.5</v>
      </c>
      <c r="R39" s="1074">
        <v>616.85</v>
      </c>
      <c r="S39" s="1074">
        <v>237.36</v>
      </c>
      <c r="T39" s="1074">
        <v>6298.89</v>
      </c>
      <c r="U39" s="1074">
        <v>0</v>
      </c>
      <c r="V39" s="1074">
        <v>0</v>
      </c>
      <c r="W39" s="1074">
        <v>0</v>
      </c>
      <c r="X39" s="1074">
        <v>0</v>
      </c>
      <c r="Y39" s="1074">
        <v>261.60000000000002</v>
      </c>
      <c r="Z39" s="1074">
        <v>0</v>
      </c>
      <c r="AA39" s="1074">
        <v>6037.29</v>
      </c>
      <c r="AB39" s="1074">
        <v>472.4</v>
      </c>
      <c r="AC39" s="1074">
        <v>0</v>
      </c>
      <c r="AD39" s="1074">
        <v>0</v>
      </c>
      <c r="AE39" s="1074">
        <v>1712200</v>
      </c>
      <c r="AF39" s="1074" t="s">
        <v>251</v>
      </c>
      <c r="AG39" s="1095">
        <f>VLOOKUP(B39,עזר!A$2:B$329,2,FALSE)</f>
        <v>73873.820000000007</v>
      </c>
      <c r="AH39" s="1074">
        <f>Q39*3</f>
        <v>22876.5</v>
      </c>
      <c r="AI39" s="1074">
        <f>AH39+AG39</f>
        <v>96750.32</v>
      </c>
      <c r="AJ39" s="1077">
        <f>VLOOKUP(B39,Sheet1!D$2:K$430,7,FALSE)</f>
        <v>1</v>
      </c>
      <c r="AK39" s="1074">
        <f>VLOOKUP(B39,Sheet1!D$2:L$430,8,FALSE)</f>
        <v>90000</v>
      </c>
      <c r="AL39" s="1109">
        <f>O39</f>
        <v>1</v>
      </c>
      <c r="AM39" s="1074">
        <f>AI39*1.02</f>
        <v>98685.326400000005</v>
      </c>
      <c r="AN39" s="1085">
        <f>AL39</f>
        <v>1</v>
      </c>
      <c r="AO39" s="1074">
        <f>AM39</f>
        <v>98685.326400000005</v>
      </c>
      <c r="AP39" s="1080"/>
    </row>
    <row r="40" spans="1:42" outlineLevel="1" x14ac:dyDescent="0.2">
      <c r="B40" s="1078"/>
      <c r="F40" s="1088" t="s">
        <v>3083</v>
      </c>
      <c r="O40" s="1077">
        <f>SUBTOTAL(9,O39:O39)</f>
        <v>1</v>
      </c>
      <c r="Q40" s="1074">
        <f>SUBTOTAL(9,Q39:Q39)</f>
        <v>7625.5</v>
      </c>
      <c r="R40" s="1074"/>
      <c r="S40" s="1074"/>
      <c r="T40" s="1074"/>
      <c r="U40" s="1074"/>
      <c r="V40" s="1074"/>
      <c r="W40" s="1074"/>
      <c r="X40" s="1074"/>
      <c r="Y40" s="1074"/>
      <c r="Z40" s="1074"/>
      <c r="AA40" s="1074"/>
      <c r="AB40" s="1074"/>
      <c r="AC40" s="1074"/>
      <c r="AD40" s="1074"/>
      <c r="AE40" s="1074"/>
      <c r="AF40" s="1074"/>
      <c r="AG40" s="1095">
        <f t="shared" ref="AG40:AM40" si="17">SUBTOTAL(9,AG39:AG39)</f>
        <v>73873.820000000007</v>
      </c>
      <c r="AH40" s="1074">
        <f t="shared" si="17"/>
        <v>22876.5</v>
      </c>
      <c r="AI40" s="1074">
        <f t="shared" si="17"/>
        <v>96750.32</v>
      </c>
      <c r="AJ40" s="1077">
        <f t="shared" si="17"/>
        <v>1</v>
      </c>
      <c r="AK40" s="1074">
        <f t="shared" si="17"/>
        <v>90000</v>
      </c>
      <c r="AL40" s="1109">
        <f t="shared" si="17"/>
        <v>1</v>
      </c>
      <c r="AM40" s="1074">
        <f t="shared" si="17"/>
        <v>98685.326400000005</v>
      </c>
      <c r="AP40" s="1080">
        <f>SUBTOTAL(9,AP39:AP39)</f>
        <v>0</v>
      </c>
    </row>
    <row r="41" spans="1:42" outlineLevel="2" x14ac:dyDescent="0.2">
      <c r="A41" s="1075">
        <v>506</v>
      </c>
      <c r="B41" s="1078">
        <v>5575111</v>
      </c>
      <c r="C41" s="1075">
        <v>55751119</v>
      </c>
      <c r="D41" s="1075" t="s">
        <v>2216</v>
      </c>
      <c r="E41" s="1075" t="s">
        <v>2270</v>
      </c>
      <c r="F41" s="1075">
        <v>713000</v>
      </c>
      <c r="G41" s="1075" t="s">
        <v>2107</v>
      </c>
      <c r="H41" s="1075">
        <v>90534</v>
      </c>
      <c r="I41" s="1075">
        <v>0</v>
      </c>
      <c r="J41" s="1075">
        <v>5</v>
      </c>
      <c r="K41" s="1075">
        <v>9</v>
      </c>
      <c r="L41" s="1075">
        <v>0</v>
      </c>
      <c r="M41" s="1075" t="s">
        <v>413</v>
      </c>
      <c r="O41" s="1077">
        <f>P41/100</f>
        <v>1</v>
      </c>
      <c r="P41" s="1075">
        <v>100</v>
      </c>
      <c r="Q41" s="1074">
        <v>7788.03</v>
      </c>
      <c r="R41" s="1074">
        <v>631.20000000000005</v>
      </c>
      <c r="S41" s="1074">
        <v>249.07</v>
      </c>
      <c r="T41" s="1074">
        <v>6423.61</v>
      </c>
      <c r="U41" s="1074">
        <v>0</v>
      </c>
      <c r="V41" s="1074">
        <v>0</v>
      </c>
      <c r="W41" s="1074">
        <v>0</v>
      </c>
      <c r="X41" s="1074">
        <v>0</v>
      </c>
      <c r="Y41" s="1074">
        <v>222.9</v>
      </c>
      <c r="Z41" s="1074">
        <v>0</v>
      </c>
      <c r="AA41" s="1074">
        <v>6200.71</v>
      </c>
      <c r="AB41" s="1074">
        <v>484.15</v>
      </c>
      <c r="AC41" s="1074">
        <v>0</v>
      </c>
      <c r="AD41" s="1074">
        <v>0</v>
      </c>
      <c r="AE41" s="1074">
        <v>1713000</v>
      </c>
      <c r="AF41" s="1074" t="s">
        <v>251</v>
      </c>
      <c r="AG41" s="1095">
        <f>VLOOKUP(B41,עזר!A$2:B$329,2,FALSE)</f>
        <v>79387.320000000007</v>
      </c>
      <c r="AH41" s="1074">
        <f>Q41*3</f>
        <v>23364.09</v>
      </c>
      <c r="AI41" s="1074">
        <f>AH41+AG41</f>
        <v>102751.41</v>
      </c>
      <c r="AJ41" s="1077">
        <f>VLOOKUP(B41,Sheet1!D$2:K$430,7,FALSE)</f>
        <v>1</v>
      </c>
      <c r="AK41" s="1074">
        <f>VLOOKUP(B41,Sheet1!D$2:L$430,8,FALSE)</f>
        <v>110000</v>
      </c>
      <c r="AL41" s="1109">
        <v>0</v>
      </c>
      <c r="AM41" s="1074">
        <v>0</v>
      </c>
      <c r="AN41" s="1085">
        <f>AL41</f>
        <v>0</v>
      </c>
      <c r="AO41" s="1074">
        <f>AM41</f>
        <v>0</v>
      </c>
      <c r="AP41" s="1080"/>
    </row>
    <row r="42" spans="1:42" outlineLevel="2" x14ac:dyDescent="0.2">
      <c r="A42" s="1075">
        <v>506</v>
      </c>
      <c r="B42" s="1078">
        <v>5250845</v>
      </c>
      <c r="C42" s="1075">
        <v>52508454</v>
      </c>
      <c r="D42" s="1075" t="s">
        <v>2230</v>
      </c>
      <c r="E42" s="1075" t="s">
        <v>2267</v>
      </c>
      <c r="F42" s="1075">
        <v>713000</v>
      </c>
      <c r="M42" s="1075" t="s">
        <v>413</v>
      </c>
      <c r="N42" s="1075" t="s">
        <v>413</v>
      </c>
      <c r="O42" s="1077">
        <v>0</v>
      </c>
      <c r="Q42" s="1074">
        <v>0</v>
      </c>
      <c r="R42" s="1074"/>
      <c r="S42" s="1074"/>
      <c r="T42" s="1074"/>
      <c r="U42" s="1074"/>
      <c r="V42" s="1074"/>
      <c r="W42" s="1074"/>
      <c r="X42" s="1074"/>
      <c r="Y42" s="1074"/>
      <c r="Z42" s="1074"/>
      <c r="AA42" s="1074"/>
      <c r="AB42" s="1074"/>
      <c r="AC42" s="1074"/>
      <c r="AD42" s="1074"/>
      <c r="AE42" s="1074"/>
      <c r="AF42" s="1074"/>
      <c r="AG42" s="1095">
        <v>113108</v>
      </c>
      <c r="AH42" s="1074">
        <f>Q42*3</f>
        <v>0</v>
      </c>
      <c r="AI42" s="1074">
        <f>AH42+AG42</f>
        <v>113108</v>
      </c>
      <c r="AJ42" s="1077">
        <v>1</v>
      </c>
      <c r="AK42" s="1074">
        <v>90083</v>
      </c>
      <c r="AL42" s="1109">
        <v>0</v>
      </c>
      <c r="AM42" s="1074">
        <v>0</v>
      </c>
      <c r="AN42" s="1085">
        <f>AL42</f>
        <v>0</v>
      </c>
      <c r="AO42" s="1074">
        <f>AM42</f>
        <v>0</v>
      </c>
      <c r="AP42" s="1080"/>
    </row>
    <row r="43" spans="1:42" outlineLevel="1" x14ac:dyDescent="0.2">
      <c r="B43" s="1078"/>
      <c r="F43" s="1088" t="s">
        <v>3084</v>
      </c>
      <c r="O43" s="1077">
        <f>SUBTOTAL(9,O41:O42)</f>
        <v>1</v>
      </c>
      <c r="Q43" s="1074">
        <f>SUBTOTAL(9,Q41:Q42)</f>
        <v>7788.03</v>
      </c>
      <c r="R43" s="1074"/>
      <c r="S43" s="1074"/>
      <c r="T43" s="1074"/>
      <c r="U43" s="1074"/>
      <c r="V43" s="1074"/>
      <c r="W43" s="1074"/>
      <c r="X43" s="1074"/>
      <c r="Y43" s="1074"/>
      <c r="Z43" s="1074"/>
      <c r="AA43" s="1074"/>
      <c r="AB43" s="1074"/>
      <c r="AC43" s="1074"/>
      <c r="AD43" s="1074"/>
      <c r="AE43" s="1074"/>
      <c r="AF43" s="1074"/>
      <c r="AG43" s="1095">
        <f t="shared" ref="AG43:AM43" si="18">SUBTOTAL(9,AG41:AG42)</f>
        <v>192495.32</v>
      </c>
      <c r="AH43" s="1074">
        <f t="shared" si="18"/>
        <v>23364.09</v>
      </c>
      <c r="AI43" s="1074">
        <f t="shared" si="18"/>
        <v>215859.41</v>
      </c>
      <c r="AJ43" s="1077">
        <f t="shared" si="18"/>
        <v>2</v>
      </c>
      <c r="AK43" s="1074">
        <f t="shared" si="18"/>
        <v>200083</v>
      </c>
      <c r="AL43" s="1109">
        <f t="shared" si="18"/>
        <v>0</v>
      </c>
      <c r="AM43" s="1074">
        <f t="shared" si="18"/>
        <v>0</v>
      </c>
      <c r="AP43" s="1080">
        <f>SUBTOTAL(9,AP41:AP42)</f>
        <v>0</v>
      </c>
    </row>
    <row r="44" spans="1:42" outlineLevel="2" x14ac:dyDescent="0.2">
      <c r="A44" s="1075">
        <v>506</v>
      </c>
      <c r="B44" s="1078">
        <v>999999</v>
      </c>
      <c r="C44" s="1075">
        <v>999999</v>
      </c>
      <c r="D44" s="1110" t="s">
        <v>758</v>
      </c>
      <c r="E44" s="1110" t="s">
        <v>758</v>
      </c>
      <c r="F44" s="1075">
        <v>713300</v>
      </c>
      <c r="M44" s="1075" t="s">
        <v>989</v>
      </c>
      <c r="N44" s="1075" t="s">
        <v>989</v>
      </c>
      <c r="O44" s="1077">
        <v>0</v>
      </c>
      <c r="Q44" s="1074">
        <v>0</v>
      </c>
      <c r="AG44" s="1095">
        <v>0</v>
      </c>
      <c r="AH44" s="1074">
        <f>Q44*3</f>
        <v>0</v>
      </c>
      <c r="AI44" s="1085">
        <v>0</v>
      </c>
      <c r="AJ44" s="1077">
        <v>0.5</v>
      </c>
      <c r="AK44" s="1074">
        <v>30000</v>
      </c>
      <c r="AL44" s="1109">
        <v>1</v>
      </c>
      <c r="AM44" s="1111">
        <v>0</v>
      </c>
      <c r="AN44" s="1085">
        <f>AL44</f>
        <v>1</v>
      </c>
      <c r="AO44" s="1074">
        <f>AM44</f>
        <v>0</v>
      </c>
      <c r="AP44" s="1080"/>
    </row>
    <row r="45" spans="1:42" outlineLevel="1" x14ac:dyDescent="0.2">
      <c r="B45" s="1078"/>
      <c r="F45" s="1088" t="s">
        <v>3085</v>
      </c>
      <c r="O45" s="1077">
        <f>SUBTOTAL(9,O44:O44)</f>
        <v>0</v>
      </c>
      <c r="Q45" s="1074">
        <f>SUBTOTAL(9,Q44:Q44)</f>
        <v>0</v>
      </c>
      <c r="AG45" s="1095">
        <f t="shared" ref="AG45:AM45" si="19">SUBTOTAL(9,AG44:AG44)</f>
        <v>0</v>
      </c>
      <c r="AH45" s="1074">
        <f t="shared" si="19"/>
        <v>0</v>
      </c>
      <c r="AI45" s="1085">
        <f t="shared" si="19"/>
        <v>0</v>
      </c>
      <c r="AJ45" s="1077">
        <f t="shared" si="19"/>
        <v>0.5</v>
      </c>
      <c r="AK45" s="1074">
        <f t="shared" si="19"/>
        <v>30000</v>
      </c>
      <c r="AL45" s="1109">
        <f t="shared" si="19"/>
        <v>1</v>
      </c>
      <c r="AM45" s="1111">
        <f t="shared" si="19"/>
        <v>0</v>
      </c>
      <c r="AP45" s="1080">
        <f>SUBTOTAL(9,AP44:AP44)</f>
        <v>0</v>
      </c>
    </row>
    <row r="46" spans="1:42" outlineLevel="2" x14ac:dyDescent="0.2">
      <c r="A46" s="1075">
        <v>506</v>
      </c>
      <c r="B46" s="1078">
        <v>5692116</v>
      </c>
      <c r="C46" s="1075">
        <v>56921166</v>
      </c>
      <c r="D46" s="1075" t="s">
        <v>2271</v>
      </c>
      <c r="E46" s="1075" t="s">
        <v>2272</v>
      </c>
      <c r="F46" s="1075">
        <v>714100</v>
      </c>
      <c r="G46" s="1075" t="s">
        <v>2107</v>
      </c>
      <c r="H46" s="1075">
        <v>90534</v>
      </c>
      <c r="I46" s="1075">
        <v>0</v>
      </c>
      <c r="J46" s="1075">
        <v>69</v>
      </c>
      <c r="K46" s="1075">
        <v>9</v>
      </c>
      <c r="L46" s="1075">
        <v>0</v>
      </c>
      <c r="M46" s="1075" t="s">
        <v>2771</v>
      </c>
      <c r="O46" s="1077">
        <f>P46/100</f>
        <v>0.2</v>
      </c>
      <c r="P46" s="1075">
        <v>20</v>
      </c>
      <c r="Q46" s="1074">
        <v>7526.32</v>
      </c>
      <c r="R46" s="1074">
        <v>550.54999999999995</v>
      </c>
      <c r="S46" s="1074">
        <v>271.12</v>
      </c>
      <c r="T46" s="1074">
        <v>6198.45</v>
      </c>
      <c r="U46" s="1074">
        <v>0</v>
      </c>
      <c r="V46" s="1074">
        <v>0</v>
      </c>
      <c r="W46" s="1074">
        <v>0</v>
      </c>
      <c r="X46" s="1074">
        <v>644.29999999999995</v>
      </c>
      <c r="Y46" s="1074">
        <v>48.7</v>
      </c>
      <c r="Z46" s="1074">
        <v>0</v>
      </c>
      <c r="AA46" s="1074">
        <v>5505.45</v>
      </c>
      <c r="AB46" s="1074">
        <v>506.2</v>
      </c>
      <c r="AC46" s="1074">
        <v>0</v>
      </c>
      <c r="AD46" s="1074">
        <v>0</v>
      </c>
      <c r="AE46" s="1074">
        <v>1714100</v>
      </c>
      <c r="AF46" s="1074" t="s">
        <v>251</v>
      </c>
      <c r="AG46" s="1095">
        <f>VLOOKUP(B46,עזר!A$2:B$329,2,FALSE)</f>
        <v>76403.960000000006</v>
      </c>
      <c r="AH46" s="1074">
        <f>Q46*3</f>
        <v>22578.959999999999</v>
      </c>
      <c r="AI46" s="1074">
        <f>AH46+AG46</f>
        <v>98982.920000000013</v>
      </c>
      <c r="AJ46" s="1077">
        <f>VLOOKUP(B46,Sheet1!D$2:K$430,7,FALSE)</f>
        <v>0.2</v>
      </c>
      <c r="AK46" s="1074">
        <f>VLOOKUP(B46,Sheet1!D$2:L$430,8,FALSE)</f>
        <v>90000</v>
      </c>
      <c r="AL46" s="1109">
        <f>O46</f>
        <v>0.2</v>
      </c>
      <c r="AM46" s="1074">
        <f>AI46*1.02</f>
        <v>100962.57840000001</v>
      </c>
      <c r="AN46" s="1085">
        <f>AL46</f>
        <v>0.2</v>
      </c>
      <c r="AO46" s="1074">
        <f>AM46</f>
        <v>100962.57840000001</v>
      </c>
      <c r="AP46" s="1080"/>
    </row>
    <row r="47" spans="1:42" outlineLevel="1" x14ac:dyDescent="0.2">
      <c r="B47" s="1078"/>
      <c r="F47" s="1088" t="s">
        <v>3086</v>
      </c>
      <c r="O47" s="1077">
        <f>SUBTOTAL(9,O46:O46)</f>
        <v>0.2</v>
      </c>
      <c r="Q47" s="1074">
        <f>SUBTOTAL(9,Q46:Q46)</f>
        <v>7526.32</v>
      </c>
      <c r="R47" s="1074"/>
      <c r="S47" s="1074"/>
      <c r="T47" s="1074"/>
      <c r="U47" s="1074"/>
      <c r="V47" s="1074"/>
      <c r="W47" s="1074"/>
      <c r="X47" s="1074"/>
      <c r="Y47" s="1074"/>
      <c r="Z47" s="1074"/>
      <c r="AA47" s="1074"/>
      <c r="AB47" s="1074"/>
      <c r="AC47" s="1074"/>
      <c r="AD47" s="1074"/>
      <c r="AE47" s="1074"/>
      <c r="AF47" s="1074"/>
      <c r="AG47" s="1095">
        <f t="shared" ref="AG47:AM47" si="20">SUBTOTAL(9,AG46:AG46)</f>
        <v>76403.960000000006</v>
      </c>
      <c r="AH47" s="1074">
        <f t="shared" si="20"/>
        <v>22578.959999999999</v>
      </c>
      <c r="AI47" s="1074">
        <f t="shared" si="20"/>
        <v>98982.920000000013</v>
      </c>
      <c r="AJ47" s="1077">
        <f t="shared" si="20"/>
        <v>0.2</v>
      </c>
      <c r="AK47" s="1074">
        <f t="shared" si="20"/>
        <v>90000</v>
      </c>
      <c r="AL47" s="1109">
        <f t="shared" si="20"/>
        <v>0.2</v>
      </c>
      <c r="AM47" s="1074">
        <f t="shared" si="20"/>
        <v>100962.57840000001</v>
      </c>
      <c r="AP47" s="1080">
        <f>SUBTOTAL(9,AP46:AP46)</f>
        <v>0</v>
      </c>
    </row>
    <row r="48" spans="1:42" outlineLevel="2" x14ac:dyDescent="0.2">
      <c r="A48" s="1075">
        <v>506</v>
      </c>
      <c r="B48" s="1078">
        <v>3416090</v>
      </c>
      <c r="C48" s="1075">
        <v>34160903</v>
      </c>
      <c r="D48" s="1075" t="s">
        <v>2192</v>
      </c>
      <c r="E48" s="1075" t="s">
        <v>2273</v>
      </c>
      <c r="F48" s="1075">
        <v>721000</v>
      </c>
      <c r="G48" s="1075" t="s">
        <v>2107</v>
      </c>
      <c r="H48" s="1075">
        <v>90534</v>
      </c>
      <c r="I48" s="1075">
        <v>0</v>
      </c>
      <c r="J48" s="1075">
        <v>5</v>
      </c>
      <c r="K48" s="1075">
        <v>8</v>
      </c>
      <c r="L48" s="1075">
        <v>0</v>
      </c>
      <c r="M48" s="1075" t="s">
        <v>2772</v>
      </c>
      <c r="O48" s="1077">
        <f>P48/100</f>
        <v>0.75</v>
      </c>
      <c r="P48" s="1075">
        <v>75</v>
      </c>
      <c r="Q48" s="1074">
        <v>9786.23</v>
      </c>
      <c r="R48" s="1074">
        <v>1216.8</v>
      </c>
      <c r="S48" s="1074">
        <v>339.15</v>
      </c>
      <c r="T48" s="1074">
        <v>7656.08</v>
      </c>
      <c r="U48" s="1074">
        <v>249.45</v>
      </c>
      <c r="V48" s="1074">
        <v>0</v>
      </c>
      <c r="W48" s="1074">
        <v>0</v>
      </c>
      <c r="X48" s="1074">
        <v>930.95</v>
      </c>
      <c r="Y48" s="1074">
        <v>184.1</v>
      </c>
      <c r="Z48" s="1074">
        <v>743.4</v>
      </c>
      <c r="AA48" s="1074">
        <v>5548.18</v>
      </c>
      <c r="AB48" s="1074">
        <v>574.20000000000005</v>
      </c>
      <c r="AC48" s="1074">
        <v>0</v>
      </c>
      <c r="AD48" s="1074">
        <v>0</v>
      </c>
      <c r="AE48" s="1074">
        <v>1721000</v>
      </c>
      <c r="AF48" s="1074" t="s">
        <v>251</v>
      </c>
      <c r="AG48" s="1095">
        <f>VLOOKUP(B48,עזר!A$2:B$329,2,FALSE)</f>
        <v>49474.12</v>
      </c>
      <c r="AH48" s="1074">
        <f>Q48*3</f>
        <v>29358.69</v>
      </c>
      <c r="AI48" s="1074">
        <f>AH48+AG48</f>
        <v>78832.81</v>
      </c>
      <c r="AJ48" s="1077">
        <f>VLOOKUP(B48,Sheet1!D$2:K$430,7,FALSE)</f>
        <v>1</v>
      </c>
      <c r="AK48" s="1074">
        <f>VLOOKUP(B48,Sheet1!D$2:L$430,8,FALSE)</f>
        <v>60000</v>
      </c>
      <c r="AL48" s="1109">
        <v>1</v>
      </c>
      <c r="AM48" s="1074">
        <f>AI48*1.02+30000</f>
        <v>110409.4662</v>
      </c>
      <c r="AN48" s="1085">
        <f>AL48</f>
        <v>1</v>
      </c>
      <c r="AO48" s="1074">
        <f>AM48</f>
        <v>110409.4662</v>
      </c>
      <c r="AP48" s="1080"/>
    </row>
    <row r="49" spans="1:42" outlineLevel="1" x14ac:dyDescent="0.2">
      <c r="B49" s="1078"/>
      <c r="F49" s="1088" t="s">
        <v>3087</v>
      </c>
      <c r="O49" s="1077">
        <f>SUBTOTAL(9,O48:O48)</f>
        <v>0.75</v>
      </c>
      <c r="Q49" s="1074">
        <f>SUBTOTAL(9,Q48:Q48)</f>
        <v>9786.23</v>
      </c>
      <c r="R49" s="1074"/>
      <c r="S49" s="1074"/>
      <c r="T49" s="1074"/>
      <c r="U49" s="1074"/>
      <c r="V49" s="1074"/>
      <c r="W49" s="1074"/>
      <c r="X49" s="1074"/>
      <c r="Y49" s="1074"/>
      <c r="Z49" s="1074"/>
      <c r="AA49" s="1074"/>
      <c r="AB49" s="1074"/>
      <c r="AC49" s="1074"/>
      <c r="AD49" s="1074"/>
      <c r="AE49" s="1074"/>
      <c r="AF49" s="1074"/>
      <c r="AG49" s="1095">
        <f t="shared" ref="AG49:AM49" si="21">SUBTOTAL(9,AG48:AG48)</f>
        <v>49474.12</v>
      </c>
      <c r="AH49" s="1074">
        <f t="shared" si="21"/>
        <v>29358.69</v>
      </c>
      <c r="AI49" s="1074">
        <f t="shared" si="21"/>
        <v>78832.81</v>
      </c>
      <c r="AJ49" s="1077">
        <f t="shared" si="21"/>
        <v>1</v>
      </c>
      <c r="AK49" s="1074">
        <f t="shared" si="21"/>
        <v>60000</v>
      </c>
      <c r="AL49" s="1109">
        <f t="shared" si="21"/>
        <v>1</v>
      </c>
      <c r="AM49" s="1074">
        <f t="shared" si="21"/>
        <v>110409.4662</v>
      </c>
      <c r="AP49" s="1080">
        <f>SUBTOTAL(9,AP48:AP48)</f>
        <v>0</v>
      </c>
    </row>
    <row r="50" spans="1:42" outlineLevel="2" x14ac:dyDescent="0.2">
      <c r="A50" s="1075">
        <v>506</v>
      </c>
      <c r="B50" s="1078">
        <v>2910410</v>
      </c>
      <c r="C50" s="1075">
        <v>29104106</v>
      </c>
      <c r="D50" s="1075" t="s">
        <v>2207</v>
      </c>
      <c r="E50" s="1075" t="s">
        <v>2251</v>
      </c>
      <c r="F50" s="1075">
        <v>731000</v>
      </c>
      <c r="G50" s="1075" t="s">
        <v>2107</v>
      </c>
      <c r="H50" s="1075">
        <v>90534</v>
      </c>
      <c r="I50" s="1075">
        <v>0</v>
      </c>
      <c r="J50" s="1075">
        <v>5</v>
      </c>
      <c r="K50" s="1075">
        <v>38</v>
      </c>
      <c r="L50" s="1075">
        <v>0</v>
      </c>
      <c r="M50" s="1075" t="s">
        <v>2773</v>
      </c>
      <c r="O50" s="1077">
        <f>P50/100</f>
        <v>1</v>
      </c>
      <c r="P50" s="1075">
        <v>100</v>
      </c>
      <c r="Q50" s="1074">
        <v>8513.68</v>
      </c>
      <c r="R50" s="1074">
        <v>528.54999999999995</v>
      </c>
      <c r="S50" s="1074">
        <v>307.89</v>
      </c>
      <c r="T50" s="1074">
        <v>7134.29</v>
      </c>
      <c r="U50" s="1074">
        <v>0</v>
      </c>
      <c r="V50" s="1074">
        <v>0</v>
      </c>
      <c r="W50" s="1074">
        <v>0</v>
      </c>
      <c r="X50" s="1074">
        <v>0</v>
      </c>
      <c r="Y50" s="1074">
        <v>261.60000000000002</v>
      </c>
      <c r="Z50" s="1074">
        <v>0</v>
      </c>
      <c r="AA50" s="1074">
        <v>6872.69</v>
      </c>
      <c r="AB50" s="1074">
        <v>542.95000000000005</v>
      </c>
      <c r="AC50" s="1074">
        <v>0</v>
      </c>
      <c r="AD50" s="1074">
        <v>0</v>
      </c>
      <c r="AE50" s="1074">
        <v>1731000</v>
      </c>
      <c r="AF50" s="1074" t="s">
        <v>251</v>
      </c>
      <c r="AG50" s="1095">
        <f>VLOOKUP(B50,עזר!A$2:B$329,2,FALSE)</f>
        <v>85086.48</v>
      </c>
      <c r="AH50" s="1074">
        <f>Q50*3</f>
        <v>25541.040000000001</v>
      </c>
      <c r="AI50" s="1074">
        <f>AH50+AG50</f>
        <v>110627.51999999999</v>
      </c>
      <c r="AJ50" s="1077">
        <f>VLOOKUP(B50,Sheet1!D$2:K$430,7,FALSE)</f>
        <v>1</v>
      </c>
      <c r="AK50" s="1074">
        <f>VLOOKUP(B50,Sheet1!D$2:L$430,8,FALSE)</f>
        <v>103000</v>
      </c>
      <c r="AL50" s="1109">
        <f>O50</f>
        <v>1</v>
      </c>
      <c r="AM50" s="1074">
        <f>AI50*1.02</f>
        <v>112840.0704</v>
      </c>
      <c r="AN50" s="1085">
        <f t="shared" ref="AN50:AO52" si="22">AL50</f>
        <v>1</v>
      </c>
      <c r="AO50" s="1074">
        <f t="shared" si="22"/>
        <v>112840.0704</v>
      </c>
      <c r="AP50" s="1080"/>
    </row>
    <row r="51" spans="1:42" outlineLevel="2" x14ac:dyDescent="0.2">
      <c r="A51" s="1075">
        <v>506</v>
      </c>
      <c r="B51" s="1078">
        <v>3722266</v>
      </c>
      <c r="C51" s="1075">
        <v>37222668</v>
      </c>
      <c r="D51" s="1075" t="s">
        <v>2112</v>
      </c>
      <c r="E51" s="1075" t="s">
        <v>2274</v>
      </c>
      <c r="F51" s="1075">
        <v>731000</v>
      </c>
      <c r="G51" s="1075" t="s">
        <v>2107</v>
      </c>
      <c r="H51" s="1075">
        <v>90534</v>
      </c>
      <c r="I51" s="1075">
        <v>1</v>
      </c>
      <c r="J51" s="1075">
        <v>0</v>
      </c>
      <c r="K51" s="1075">
        <v>0</v>
      </c>
      <c r="L51" s="1075">
        <v>0</v>
      </c>
      <c r="M51" s="1075" t="s">
        <v>2773</v>
      </c>
      <c r="O51" s="1077">
        <f>P51/100</f>
        <v>0</v>
      </c>
      <c r="P51" s="1075">
        <v>0</v>
      </c>
      <c r="Q51" s="1074">
        <v>6937.54</v>
      </c>
      <c r="R51" s="1074">
        <v>1030.0999999999999</v>
      </c>
      <c r="S51" s="1074">
        <v>183.69</v>
      </c>
      <c r="T51" s="1074">
        <v>5324.4</v>
      </c>
      <c r="U51" s="1074">
        <v>0</v>
      </c>
      <c r="V51" s="1074">
        <v>0</v>
      </c>
      <c r="W51" s="1074">
        <v>0</v>
      </c>
      <c r="X51" s="1074">
        <v>2.2000000000000002</v>
      </c>
      <c r="Y51" s="1074">
        <v>417.2</v>
      </c>
      <c r="Z51" s="1074">
        <v>0</v>
      </c>
      <c r="AA51" s="1074">
        <v>4905</v>
      </c>
      <c r="AB51" s="1074">
        <v>399.35</v>
      </c>
      <c r="AC51" s="1074">
        <v>0</v>
      </c>
      <c r="AD51" s="1074">
        <v>0</v>
      </c>
      <c r="AE51" s="1074">
        <v>1731000</v>
      </c>
      <c r="AF51" s="1074" t="s">
        <v>251</v>
      </c>
      <c r="AG51" s="1095">
        <f>VLOOKUP(B51,עזר!A$2:B$329,2,FALSE)</f>
        <v>67921.289999999994</v>
      </c>
      <c r="AH51" s="1074">
        <f>Q51*3</f>
        <v>20812.62</v>
      </c>
      <c r="AI51" s="1074">
        <f>AH51+AG51</f>
        <v>88733.909999999989</v>
      </c>
      <c r="AJ51" s="1077">
        <f>VLOOKUP(B51,Sheet1!D$2:K$430,7,FALSE)</f>
        <v>1</v>
      </c>
      <c r="AK51" s="1074">
        <f>VLOOKUP(B51,Sheet1!D$2:L$430,8,FALSE)</f>
        <v>80300</v>
      </c>
      <c r="AL51" s="1109">
        <f>O51</f>
        <v>0</v>
      </c>
      <c r="AM51" s="1111">
        <f>AI51*1.02</f>
        <v>90508.588199999984</v>
      </c>
      <c r="AN51" s="1085">
        <f t="shared" si="22"/>
        <v>0</v>
      </c>
      <c r="AO51" s="1074">
        <f t="shared" si="22"/>
        <v>90508.588199999984</v>
      </c>
      <c r="AP51" s="1080"/>
    </row>
    <row r="52" spans="1:42" outlineLevel="2" x14ac:dyDescent="0.2">
      <c r="A52" s="1075">
        <v>506</v>
      </c>
      <c r="B52" s="1078">
        <v>5243437</v>
      </c>
      <c r="C52" s="1075">
        <v>52434370</v>
      </c>
      <c r="D52" s="1075" t="s">
        <v>2275</v>
      </c>
      <c r="E52" s="1075" t="s">
        <v>1360</v>
      </c>
      <c r="F52" s="1075">
        <v>731000</v>
      </c>
      <c r="G52" s="1075" t="s">
        <v>2107</v>
      </c>
      <c r="H52" s="1075">
        <v>90534</v>
      </c>
      <c r="I52" s="1075">
        <v>0</v>
      </c>
      <c r="J52" s="1075">
        <v>39</v>
      </c>
      <c r="K52" s="1075">
        <v>3</v>
      </c>
      <c r="L52" s="1075">
        <v>0</v>
      </c>
      <c r="M52" s="1075" t="s">
        <v>2773</v>
      </c>
      <c r="O52" s="1077">
        <f>P52/100</f>
        <v>1</v>
      </c>
      <c r="P52" s="1075">
        <v>100</v>
      </c>
      <c r="Q52" s="1074">
        <v>29598.26</v>
      </c>
      <c r="R52" s="1074">
        <v>4193.45</v>
      </c>
      <c r="S52" s="1074">
        <v>1460.41</v>
      </c>
      <c r="T52" s="1074">
        <v>22248.95</v>
      </c>
      <c r="U52" s="1074">
        <v>660.8</v>
      </c>
      <c r="V52" s="1074">
        <v>0</v>
      </c>
      <c r="W52" s="1074">
        <v>0</v>
      </c>
      <c r="X52" s="1074">
        <v>1406.25</v>
      </c>
      <c r="Y52" s="1074">
        <v>213</v>
      </c>
      <c r="Z52" s="1074">
        <v>0</v>
      </c>
      <c r="AA52" s="1074">
        <v>19968.900000000001</v>
      </c>
      <c r="AB52" s="1074">
        <v>1695.45</v>
      </c>
      <c r="AC52" s="1074">
        <v>0</v>
      </c>
      <c r="AD52" s="1074">
        <v>0</v>
      </c>
      <c r="AE52" s="1074">
        <v>1731000</v>
      </c>
      <c r="AF52" s="1074" t="s">
        <v>251</v>
      </c>
      <c r="AG52" s="1095">
        <f>VLOOKUP(B52,עזר!A$2:B$329,2,FALSE)</f>
        <v>281737.08</v>
      </c>
      <c r="AH52" s="1074">
        <f>Q52*3</f>
        <v>88794.78</v>
      </c>
      <c r="AI52" s="1074">
        <f>AH52+AG52</f>
        <v>370531.86</v>
      </c>
      <c r="AJ52" s="1077">
        <f>VLOOKUP(B52,Sheet1!D$2:K$430,7,FALSE)</f>
        <v>1</v>
      </c>
      <c r="AK52" s="1074">
        <f>VLOOKUP(B52,Sheet1!D$2:L$430,8,FALSE)</f>
        <v>390000</v>
      </c>
      <c r="AL52" s="1109">
        <f>O52</f>
        <v>1</v>
      </c>
      <c r="AM52" s="1111">
        <f>AI52*1.02</f>
        <v>377942.49719999998</v>
      </c>
      <c r="AN52" s="1085">
        <f t="shared" si="22"/>
        <v>1</v>
      </c>
      <c r="AO52" s="1074">
        <f t="shared" si="22"/>
        <v>377942.49719999998</v>
      </c>
      <c r="AP52" s="1080"/>
    </row>
    <row r="53" spans="1:42" outlineLevel="1" x14ac:dyDescent="0.2">
      <c r="B53" s="1078"/>
      <c r="F53" s="1088" t="s">
        <v>3088</v>
      </c>
      <c r="O53" s="1077">
        <f>SUBTOTAL(9,O50:O52)</f>
        <v>2</v>
      </c>
      <c r="Q53" s="1074">
        <f>SUBTOTAL(9,Q50:Q52)</f>
        <v>45049.479999999996</v>
      </c>
      <c r="R53" s="1074"/>
      <c r="S53" s="1074"/>
      <c r="T53" s="1074"/>
      <c r="U53" s="1074"/>
      <c r="V53" s="1074"/>
      <c r="W53" s="1074"/>
      <c r="X53" s="1074"/>
      <c r="Y53" s="1074"/>
      <c r="Z53" s="1074"/>
      <c r="AA53" s="1074"/>
      <c r="AB53" s="1074"/>
      <c r="AC53" s="1074"/>
      <c r="AD53" s="1074"/>
      <c r="AE53" s="1074"/>
      <c r="AF53" s="1074"/>
      <c r="AG53" s="1095">
        <f t="shared" ref="AG53:AM53" si="23">SUBTOTAL(9,AG50:AG52)</f>
        <v>434744.85</v>
      </c>
      <c r="AH53" s="1074">
        <f t="shared" si="23"/>
        <v>135148.44</v>
      </c>
      <c r="AI53" s="1074">
        <f t="shared" si="23"/>
        <v>569893.29</v>
      </c>
      <c r="AJ53" s="1077">
        <f t="shared" si="23"/>
        <v>3</v>
      </c>
      <c r="AK53" s="1074">
        <f t="shared" si="23"/>
        <v>573300</v>
      </c>
      <c r="AL53" s="1109">
        <f t="shared" si="23"/>
        <v>2</v>
      </c>
      <c r="AM53" s="1111">
        <f t="shared" si="23"/>
        <v>581291.15579999995</v>
      </c>
      <c r="AP53" s="1080">
        <f>SUBTOTAL(9,AP50:AP52)</f>
        <v>0</v>
      </c>
    </row>
    <row r="54" spans="1:42" outlineLevel="2" x14ac:dyDescent="0.2">
      <c r="A54" s="1075">
        <v>506</v>
      </c>
      <c r="B54" s="1079">
        <v>5938504</v>
      </c>
      <c r="C54" s="1079">
        <v>5938504</v>
      </c>
      <c r="D54" s="1075" t="s">
        <v>2779</v>
      </c>
      <c r="F54" s="1075">
        <v>742000</v>
      </c>
      <c r="M54" s="1075" t="s">
        <v>1009</v>
      </c>
      <c r="N54" s="1075" t="s">
        <v>1010</v>
      </c>
      <c r="O54" s="1077">
        <v>0</v>
      </c>
      <c r="Q54" s="1085">
        <v>0</v>
      </c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5"/>
      <c r="AG54" s="1096">
        <v>0</v>
      </c>
      <c r="AH54" s="1080">
        <f>Q54*3</f>
        <v>0</v>
      </c>
      <c r="AI54" s="1085">
        <v>0</v>
      </c>
      <c r="AJ54" s="1077">
        <v>1</v>
      </c>
      <c r="AK54" s="1075">
        <v>26000</v>
      </c>
      <c r="AL54" s="1109">
        <v>0</v>
      </c>
      <c r="AM54" s="1074">
        <v>0</v>
      </c>
      <c r="AN54" s="1085">
        <v>0</v>
      </c>
      <c r="AO54" s="1074">
        <v>0</v>
      </c>
      <c r="AP54" s="1080"/>
    </row>
    <row r="55" spans="1:42" outlineLevel="1" x14ac:dyDescent="0.2">
      <c r="B55" s="1079"/>
      <c r="C55" s="1079"/>
      <c r="F55" s="1088" t="s">
        <v>3089</v>
      </c>
      <c r="O55" s="1077">
        <f>SUBTOTAL(9,O54:O54)</f>
        <v>0</v>
      </c>
      <c r="Q55" s="1085">
        <f>SUBTOTAL(9,Q54:Q54)</f>
        <v>0</v>
      </c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5"/>
      <c r="AG55" s="1096">
        <f t="shared" ref="AG55:AM55" si="24">SUBTOTAL(9,AG54:AG54)</f>
        <v>0</v>
      </c>
      <c r="AH55" s="1080">
        <f t="shared" si="24"/>
        <v>0</v>
      </c>
      <c r="AI55" s="1085">
        <f t="shared" si="24"/>
        <v>0</v>
      </c>
      <c r="AJ55" s="1077">
        <f t="shared" si="24"/>
        <v>1</v>
      </c>
      <c r="AK55" s="1075">
        <f t="shared" si="24"/>
        <v>26000</v>
      </c>
      <c r="AL55" s="1109">
        <f t="shared" si="24"/>
        <v>0</v>
      </c>
      <c r="AM55" s="1074">
        <f t="shared" si="24"/>
        <v>0</v>
      </c>
      <c r="AP55" s="1080">
        <f>SUBTOTAL(9,AP54:AP54)</f>
        <v>0</v>
      </c>
    </row>
    <row r="56" spans="1:42" outlineLevel="2" x14ac:dyDescent="0.2">
      <c r="A56" s="1075">
        <v>506</v>
      </c>
      <c r="B56" s="1078">
        <v>2646223</v>
      </c>
      <c r="C56" s="1075">
        <v>26462234</v>
      </c>
      <c r="D56" s="1075" t="s">
        <v>2131</v>
      </c>
      <c r="E56" s="1075" t="s">
        <v>2276</v>
      </c>
      <c r="F56" s="1075">
        <v>742200</v>
      </c>
      <c r="G56" s="1075" t="s">
        <v>2107</v>
      </c>
      <c r="H56" s="1075">
        <v>90534</v>
      </c>
      <c r="I56" s="1075">
        <v>0</v>
      </c>
      <c r="J56" s="1075">
        <v>5</v>
      </c>
      <c r="K56" s="1075">
        <v>37</v>
      </c>
      <c r="L56" s="1075">
        <v>0</v>
      </c>
      <c r="M56" s="1075" t="s">
        <v>1009</v>
      </c>
      <c r="O56" s="1077">
        <f>P56/100</f>
        <v>1</v>
      </c>
      <c r="P56" s="1075">
        <v>100</v>
      </c>
      <c r="Q56" s="1074">
        <v>8803.31</v>
      </c>
      <c r="R56" s="1074">
        <v>1422.75</v>
      </c>
      <c r="S56" s="1074">
        <v>266.2</v>
      </c>
      <c r="T56" s="1074">
        <v>6613.11</v>
      </c>
      <c r="U56" s="1074">
        <v>0</v>
      </c>
      <c r="V56" s="1074">
        <v>0</v>
      </c>
      <c r="W56" s="1074">
        <v>0</v>
      </c>
      <c r="X56" s="1074">
        <v>367.5</v>
      </c>
      <c r="Y56" s="1074">
        <v>261.60000000000002</v>
      </c>
      <c r="Z56" s="1074">
        <v>0</v>
      </c>
      <c r="AA56" s="1074">
        <v>5984.01</v>
      </c>
      <c r="AB56" s="1074">
        <v>501.25</v>
      </c>
      <c r="AC56" s="1074">
        <v>0</v>
      </c>
      <c r="AD56" s="1074">
        <v>0</v>
      </c>
      <c r="AE56" s="1074">
        <v>1742200</v>
      </c>
      <c r="AF56" s="1074" t="s">
        <v>251</v>
      </c>
      <c r="AG56" s="1095">
        <f>VLOOKUP(B56,עזר!A$2:B$329,2,FALSE)</f>
        <v>101044.34</v>
      </c>
      <c r="AH56" s="1074">
        <f t="shared" ref="AH56:AH61" si="25">Q56*3</f>
        <v>26409.93</v>
      </c>
      <c r="AI56" s="1074">
        <f>AH56+AG56</f>
        <v>127454.26999999999</v>
      </c>
      <c r="AJ56" s="1077">
        <f>VLOOKUP(B56,Sheet1!D$2:K$430,7,FALSE)</f>
        <v>1</v>
      </c>
      <c r="AK56" s="1074">
        <f>VLOOKUP(B56,Sheet1!D$2:L$430,8,FALSE)</f>
        <v>126000</v>
      </c>
      <c r="AL56" s="1109">
        <f t="shared" ref="AL56:AL60" si="26">O56</f>
        <v>1</v>
      </c>
      <c r="AM56" s="1074">
        <f t="shared" ref="AM56:AM60" si="27">AI56*1.02</f>
        <v>130003.35539999999</v>
      </c>
      <c r="AN56" s="1085">
        <f t="shared" ref="AN56:AO61" si="28">AL56</f>
        <v>1</v>
      </c>
      <c r="AO56" s="1074">
        <f t="shared" si="28"/>
        <v>130003.35539999999</v>
      </c>
      <c r="AP56" s="1080"/>
    </row>
    <row r="57" spans="1:42" outlineLevel="2" x14ac:dyDescent="0.2">
      <c r="A57" s="1075">
        <v>506</v>
      </c>
      <c r="B57" s="1078">
        <v>2767428</v>
      </c>
      <c r="C57" s="1075">
        <v>27674282</v>
      </c>
      <c r="D57" s="1075" t="s">
        <v>1419</v>
      </c>
      <c r="E57" s="1075" t="s">
        <v>1513</v>
      </c>
      <c r="F57" s="1075">
        <v>742200</v>
      </c>
      <c r="G57" s="1075" t="s">
        <v>2107</v>
      </c>
      <c r="H57" s="1075">
        <v>90534</v>
      </c>
      <c r="I57" s="1075">
        <v>1</v>
      </c>
      <c r="J57" s="1075">
        <v>0</v>
      </c>
      <c r="K57" s="1075">
        <v>0</v>
      </c>
      <c r="L57" s="1075">
        <v>0</v>
      </c>
      <c r="M57" s="1075" t="s">
        <v>1009</v>
      </c>
      <c r="O57" s="1077">
        <f>P57/100</f>
        <v>0</v>
      </c>
      <c r="P57" s="1075">
        <v>0</v>
      </c>
      <c r="Q57" s="1074">
        <v>157.16999999999999</v>
      </c>
      <c r="R57" s="1074">
        <v>6.78</v>
      </c>
      <c r="S57" s="1074">
        <v>4.67</v>
      </c>
      <c r="T57" s="1074">
        <v>135.55000000000001</v>
      </c>
      <c r="U57" s="1074">
        <v>0</v>
      </c>
      <c r="V57" s="1074">
        <v>0</v>
      </c>
      <c r="W57" s="1074">
        <v>0</v>
      </c>
      <c r="X57" s="1074">
        <v>0</v>
      </c>
      <c r="Y57" s="1074">
        <v>135.55000000000001</v>
      </c>
      <c r="Z57" s="1074">
        <v>0</v>
      </c>
      <c r="AA57" s="1074">
        <v>0</v>
      </c>
      <c r="AB57" s="1074">
        <v>10.17</v>
      </c>
      <c r="AC57" s="1074">
        <v>0</v>
      </c>
      <c r="AD57" s="1074">
        <v>0</v>
      </c>
      <c r="AE57" s="1074">
        <v>1742200</v>
      </c>
      <c r="AF57" s="1074" t="s">
        <v>251</v>
      </c>
      <c r="AG57" s="1095">
        <f>VLOOKUP(B57,עזר!A$2:B$329,2,FALSE)</f>
        <v>59703.71</v>
      </c>
      <c r="AH57" s="1074">
        <f t="shared" si="25"/>
        <v>471.51</v>
      </c>
      <c r="AI57" s="1074">
        <f>AH57+AG57</f>
        <v>60175.22</v>
      </c>
      <c r="AJ57" s="1077">
        <v>1</v>
      </c>
      <c r="AK57" s="1074">
        <v>95000</v>
      </c>
      <c r="AL57" s="1109">
        <f t="shared" si="26"/>
        <v>0</v>
      </c>
      <c r="AM57" s="1074">
        <f t="shared" si="27"/>
        <v>61378.724399999999</v>
      </c>
      <c r="AN57" s="1085">
        <f t="shared" si="28"/>
        <v>0</v>
      </c>
      <c r="AO57" s="1074">
        <f t="shared" si="28"/>
        <v>61378.724399999999</v>
      </c>
      <c r="AP57" s="1080"/>
    </row>
    <row r="58" spans="1:42" outlineLevel="2" x14ac:dyDescent="0.2">
      <c r="A58" s="1075">
        <v>506</v>
      </c>
      <c r="B58" s="1078">
        <v>2827909</v>
      </c>
      <c r="C58" s="1075">
        <v>28279099</v>
      </c>
      <c r="D58" s="1075" t="s">
        <v>1419</v>
      </c>
      <c r="E58" s="1075" t="s">
        <v>2277</v>
      </c>
      <c r="F58" s="1075">
        <v>742200</v>
      </c>
      <c r="G58" s="1075" t="s">
        <v>2107</v>
      </c>
      <c r="H58" s="1075">
        <v>90534</v>
      </c>
      <c r="I58" s="1075">
        <v>0</v>
      </c>
      <c r="J58" s="1075">
        <v>5</v>
      </c>
      <c r="K58" s="1075">
        <v>40</v>
      </c>
      <c r="L58" s="1075">
        <v>0</v>
      </c>
      <c r="M58" s="1075" t="s">
        <v>1009</v>
      </c>
      <c r="N58" s="1075" t="s">
        <v>3166</v>
      </c>
      <c r="O58" s="1077">
        <f>P58/100</f>
        <v>1</v>
      </c>
      <c r="P58" s="1075">
        <v>100</v>
      </c>
      <c r="Q58" s="1074">
        <v>15071.95</v>
      </c>
      <c r="R58" s="1074">
        <v>887.4</v>
      </c>
      <c r="S58" s="1074">
        <v>1033.72</v>
      </c>
      <c r="T58" s="1074">
        <v>11882.03</v>
      </c>
      <c r="U58" s="1074">
        <v>3343</v>
      </c>
      <c r="V58" s="1074">
        <v>0</v>
      </c>
      <c r="W58" s="1074">
        <v>0</v>
      </c>
      <c r="X58" s="1074">
        <v>0</v>
      </c>
      <c r="Y58" s="1074">
        <v>48.6</v>
      </c>
      <c r="Z58" s="1074">
        <v>700.75</v>
      </c>
      <c r="AA58" s="1074">
        <v>7789.68</v>
      </c>
      <c r="AB58" s="1074">
        <v>1268.8</v>
      </c>
      <c r="AC58" s="1074">
        <v>0</v>
      </c>
      <c r="AD58" s="1074">
        <v>0</v>
      </c>
      <c r="AE58" s="1074">
        <v>1742200</v>
      </c>
      <c r="AF58" s="1074" t="s">
        <v>251</v>
      </c>
      <c r="AG58" s="1095">
        <f>VLOOKUP(B58,עזר!A$2:B$329,2,FALSE)</f>
        <v>160697.38</v>
      </c>
      <c r="AH58" s="1074">
        <f t="shared" si="25"/>
        <v>45215.850000000006</v>
      </c>
      <c r="AI58" s="1074">
        <f>AH58+AG58</f>
        <v>205913.23</v>
      </c>
      <c r="AJ58" s="1077">
        <f>VLOOKUP(B58,Sheet1!D$2:K$430,7,FALSE)</f>
        <v>1</v>
      </c>
      <c r="AK58" s="1074">
        <f>VLOOKUP(B58,Sheet1!D$2:L$430,8,FALSE)</f>
        <v>208000</v>
      </c>
      <c r="AL58" s="1109">
        <f t="shared" si="26"/>
        <v>1</v>
      </c>
      <c r="AM58" s="1074">
        <f>AI58*1.02+12000</f>
        <v>222031.49460000001</v>
      </c>
      <c r="AN58" s="1085">
        <f t="shared" si="28"/>
        <v>1</v>
      </c>
      <c r="AO58" s="1074">
        <f t="shared" si="28"/>
        <v>222031.49460000001</v>
      </c>
      <c r="AP58" s="1080"/>
    </row>
    <row r="59" spans="1:42" outlineLevel="2" x14ac:dyDescent="0.2">
      <c r="A59" s="1075">
        <v>506</v>
      </c>
      <c r="B59" s="1078">
        <v>3117319</v>
      </c>
      <c r="C59" s="1075">
        <v>31173198</v>
      </c>
      <c r="D59" s="1075" t="s">
        <v>2131</v>
      </c>
      <c r="E59" s="1075" t="s">
        <v>2278</v>
      </c>
      <c r="F59" s="1075">
        <v>742200</v>
      </c>
      <c r="G59" s="1075" t="s">
        <v>2107</v>
      </c>
      <c r="H59" s="1075">
        <v>90534</v>
      </c>
      <c r="I59" s="1075">
        <v>0</v>
      </c>
      <c r="J59" s="1075">
        <v>5</v>
      </c>
      <c r="K59" s="1075">
        <v>5</v>
      </c>
      <c r="L59" s="1075">
        <v>0</v>
      </c>
      <c r="M59" s="1075" t="s">
        <v>1009</v>
      </c>
      <c r="O59" s="1077">
        <f>P59/100</f>
        <v>1</v>
      </c>
      <c r="P59" s="1075">
        <v>100</v>
      </c>
      <c r="Q59" s="1074">
        <v>9098.9</v>
      </c>
      <c r="R59" s="1074">
        <v>1453</v>
      </c>
      <c r="S59" s="1074">
        <v>288.16000000000003</v>
      </c>
      <c r="T59" s="1074">
        <v>6834.54</v>
      </c>
      <c r="U59" s="1074">
        <v>0</v>
      </c>
      <c r="V59" s="1074">
        <v>0</v>
      </c>
      <c r="W59" s="1074">
        <v>0</v>
      </c>
      <c r="X59" s="1074">
        <v>0</v>
      </c>
      <c r="Y59" s="1074">
        <v>249.45</v>
      </c>
      <c r="Z59" s="1074">
        <v>1069.9000000000001</v>
      </c>
      <c r="AA59" s="1074">
        <v>5515.19</v>
      </c>
      <c r="AB59" s="1074">
        <v>523.20000000000005</v>
      </c>
      <c r="AC59" s="1074">
        <v>0</v>
      </c>
      <c r="AD59" s="1074">
        <v>0</v>
      </c>
      <c r="AE59" s="1074">
        <v>1742200</v>
      </c>
      <c r="AF59" s="1074" t="s">
        <v>251</v>
      </c>
      <c r="AG59" s="1095">
        <f>VLOOKUP(B59,עזר!A$2:B$329,2,FALSE)</f>
        <v>105746.57</v>
      </c>
      <c r="AH59" s="1074">
        <f t="shared" si="25"/>
        <v>27296.699999999997</v>
      </c>
      <c r="AI59" s="1074">
        <f>AH59+AG59</f>
        <v>133043.27000000002</v>
      </c>
      <c r="AJ59" s="1077">
        <f>VLOOKUP(B59,Sheet1!D$2:K$430,7,FALSE)</f>
        <v>1</v>
      </c>
      <c r="AK59" s="1074">
        <f>VLOOKUP(B59,Sheet1!D$2:L$430,8,FALSE)</f>
        <v>128000</v>
      </c>
      <c r="AL59" s="1109">
        <f t="shared" si="26"/>
        <v>1</v>
      </c>
      <c r="AM59" s="1074">
        <f t="shared" si="27"/>
        <v>135704.13540000003</v>
      </c>
      <c r="AN59" s="1085">
        <f t="shared" si="28"/>
        <v>1</v>
      </c>
      <c r="AO59" s="1074">
        <f t="shared" si="28"/>
        <v>135704.13540000003</v>
      </c>
      <c r="AP59" s="1080"/>
    </row>
    <row r="60" spans="1:42" outlineLevel="2" x14ac:dyDescent="0.2">
      <c r="A60" s="1075">
        <v>506</v>
      </c>
      <c r="B60" s="1078">
        <v>5575149</v>
      </c>
      <c r="C60" s="1075">
        <v>55751499</v>
      </c>
      <c r="D60" s="1075" t="s">
        <v>2131</v>
      </c>
      <c r="E60" s="1075" t="s">
        <v>2279</v>
      </c>
      <c r="F60" s="1075">
        <v>742200</v>
      </c>
      <c r="G60" s="1075" t="s">
        <v>2107</v>
      </c>
      <c r="H60" s="1075">
        <v>90534</v>
      </c>
      <c r="I60" s="1075">
        <v>0</v>
      </c>
      <c r="J60" s="1075">
        <v>5</v>
      </c>
      <c r="K60" s="1075">
        <v>7</v>
      </c>
      <c r="L60" s="1075">
        <v>0</v>
      </c>
      <c r="M60" s="1075" t="s">
        <v>1009</v>
      </c>
      <c r="O60" s="1077">
        <f>P60/100</f>
        <v>1</v>
      </c>
      <c r="P60" s="1075">
        <v>100</v>
      </c>
      <c r="Q60" s="1074">
        <v>8113.03</v>
      </c>
      <c r="R60" s="1074">
        <v>1208.1500000000001</v>
      </c>
      <c r="S60" s="1074">
        <v>232.31</v>
      </c>
      <c r="T60" s="1074">
        <v>6205.22</v>
      </c>
      <c r="U60" s="1074">
        <v>0</v>
      </c>
      <c r="V60" s="1074">
        <v>0</v>
      </c>
      <c r="W60" s="1074">
        <v>0</v>
      </c>
      <c r="X60" s="1074">
        <v>369.1</v>
      </c>
      <c r="Y60" s="1074">
        <v>193.9</v>
      </c>
      <c r="Z60" s="1074">
        <v>0</v>
      </c>
      <c r="AA60" s="1074">
        <v>5642.22</v>
      </c>
      <c r="AB60" s="1074">
        <v>467.35</v>
      </c>
      <c r="AC60" s="1074">
        <v>0</v>
      </c>
      <c r="AD60" s="1074">
        <v>0</v>
      </c>
      <c r="AE60" s="1074">
        <v>1742200</v>
      </c>
      <c r="AF60" s="1074" t="s">
        <v>251</v>
      </c>
      <c r="AG60" s="1095">
        <f>VLOOKUP(B60,עזר!A$2:B$329,2,FALSE)</f>
        <v>81382.710000000006</v>
      </c>
      <c r="AH60" s="1074">
        <f t="shared" si="25"/>
        <v>24339.09</v>
      </c>
      <c r="AI60" s="1074">
        <f>AH60+AG60</f>
        <v>105721.8</v>
      </c>
      <c r="AJ60" s="1077">
        <f>VLOOKUP(B60,Sheet1!D$2:K$430,7,FALSE)</f>
        <v>1</v>
      </c>
      <c r="AK60" s="1074">
        <f>VLOOKUP(B60,Sheet1!D$2:L$430,8,FALSE)</f>
        <v>99000</v>
      </c>
      <c r="AL60" s="1109">
        <f t="shared" si="26"/>
        <v>1</v>
      </c>
      <c r="AM60" s="1074">
        <f t="shared" si="27"/>
        <v>107836.236</v>
      </c>
      <c r="AN60" s="1085">
        <f t="shared" si="28"/>
        <v>1</v>
      </c>
      <c r="AO60" s="1074">
        <f t="shared" si="28"/>
        <v>107836.236</v>
      </c>
      <c r="AP60" s="1080"/>
    </row>
    <row r="61" spans="1:42" outlineLevel="2" x14ac:dyDescent="0.2">
      <c r="A61" s="1075">
        <v>506</v>
      </c>
      <c r="B61" s="1078">
        <v>5987092</v>
      </c>
      <c r="C61" s="1075">
        <v>59870923</v>
      </c>
      <c r="D61" s="1075" t="s">
        <v>2131</v>
      </c>
      <c r="E61" s="1075" t="s">
        <v>2325</v>
      </c>
      <c r="F61" s="1075">
        <v>742200</v>
      </c>
      <c r="M61" s="1075" t="s">
        <v>1009</v>
      </c>
      <c r="N61" s="1075" t="s">
        <v>1009</v>
      </c>
      <c r="O61" s="1077">
        <v>0</v>
      </c>
      <c r="Q61" s="1085">
        <v>0</v>
      </c>
      <c r="R61" s="1085"/>
      <c r="S61" s="1085"/>
      <c r="T61" s="1085"/>
      <c r="U61" s="1085"/>
      <c r="V61" s="1085"/>
      <c r="W61" s="1085"/>
      <c r="X61" s="1085"/>
      <c r="Y61" s="1085"/>
      <c r="Z61" s="1085"/>
      <c r="AA61" s="1085"/>
      <c r="AB61" s="1085"/>
      <c r="AC61" s="1085"/>
      <c r="AD61" s="1085"/>
      <c r="AE61" s="1085"/>
      <c r="AF61" s="1085"/>
      <c r="AG61" s="1096">
        <v>0</v>
      </c>
      <c r="AH61" s="1085">
        <f t="shared" si="25"/>
        <v>0</v>
      </c>
      <c r="AI61" s="1085">
        <v>0</v>
      </c>
      <c r="AJ61" s="1077">
        <v>1</v>
      </c>
      <c r="AK61" s="1074">
        <v>30000</v>
      </c>
      <c r="AL61" s="1109">
        <v>0</v>
      </c>
      <c r="AM61" s="1074">
        <v>0</v>
      </c>
      <c r="AN61" s="1085">
        <f t="shared" si="28"/>
        <v>0</v>
      </c>
      <c r="AO61" s="1074">
        <f t="shared" si="28"/>
        <v>0</v>
      </c>
      <c r="AP61" s="1080"/>
    </row>
    <row r="62" spans="1:42" outlineLevel="2" x14ac:dyDescent="0.2">
      <c r="A62" s="1075">
        <v>506</v>
      </c>
      <c r="B62" s="1078"/>
      <c r="D62" s="1110" t="s">
        <v>758</v>
      </c>
      <c r="E62" s="1110" t="s">
        <v>758</v>
      </c>
      <c r="F62" s="1075">
        <v>742200</v>
      </c>
      <c r="M62" s="1075" t="s">
        <v>3141</v>
      </c>
      <c r="N62" s="1075" t="s">
        <v>3141</v>
      </c>
      <c r="Q62" s="1085"/>
      <c r="R62" s="1085"/>
      <c r="S62" s="1085"/>
      <c r="T62" s="1085"/>
      <c r="U62" s="1085"/>
      <c r="V62" s="1085"/>
      <c r="W62" s="1085"/>
      <c r="X62" s="1085"/>
      <c r="Y62" s="1085"/>
      <c r="Z62" s="1085"/>
      <c r="AA62" s="1085"/>
      <c r="AB62" s="1085"/>
      <c r="AC62" s="1085"/>
      <c r="AD62" s="1085"/>
      <c r="AE62" s="1085"/>
      <c r="AF62" s="1085"/>
      <c r="AG62" s="1096"/>
      <c r="AH62" s="1085"/>
      <c r="AI62" s="1085"/>
      <c r="AK62" s="1074"/>
      <c r="AL62" s="1109">
        <v>1</v>
      </c>
      <c r="AM62" s="1074">
        <v>0</v>
      </c>
      <c r="AN62" s="1085">
        <f>AL62</f>
        <v>1</v>
      </c>
      <c r="AO62" s="1074">
        <v>120000</v>
      </c>
      <c r="AP62" s="1080"/>
    </row>
    <row r="63" spans="1:42" outlineLevel="1" x14ac:dyDescent="0.2">
      <c r="B63" s="1078"/>
      <c r="F63" s="1088" t="s">
        <v>3090</v>
      </c>
      <c r="O63" s="1077">
        <f>SUBTOTAL(9,O56:O62)</f>
        <v>4</v>
      </c>
      <c r="Q63" s="1085">
        <f>SUBTOTAL(9,Q56:Q62)</f>
        <v>41244.36</v>
      </c>
      <c r="R63" s="1085"/>
      <c r="S63" s="1085"/>
      <c r="T63" s="1085"/>
      <c r="U63" s="1085"/>
      <c r="V63" s="1085"/>
      <c r="W63" s="1085"/>
      <c r="X63" s="1085"/>
      <c r="Y63" s="1085"/>
      <c r="Z63" s="1085"/>
      <c r="AA63" s="1085"/>
      <c r="AB63" s="1085"/>
      <c r="AC63" s="1085"/>
      <c r="AD63" s="1085"/>
      <c r="AE63" s="1085"/>
      <c r="AF63" s="1085"/>
      <c r="AG63" s="1096">
        <f t="shared" ref="AG63:AM63" si="29">SUBTOTAL(9,AG56:AG62)</f>
        <v>508574.71</v>
      </c>
      <c r="AH63" s="1085">
        <f t="shared" si="29"/>
        <v>123733.08</v>
      </c>
      <c r="AI63" s="1085">
        <f t="shared" si="29"/>
        <v>632307.79</v>
      </c>
      <c r="AJ63" s="1077">
        <f t="shared" si="29"/>
        <v>6</v>
      </c>
      <c r="AK63" s="1074">
        <f t="shared" si="29"/>
        <v>686000</v>
      </c>
      <c r="AL63" s="1109">
        <f t="shared" si="29"/>
        <v>5</v>
      </c>
      <c r="AM63" s="1074">
        <f t="shared" si="29"/>
        <v>656953.9458000001</v>
      </c>
      <c r="AP63" s="1080">
        <f>SUBTOTAL(9,AP56:AP62)</f>
        <v>0</v>
      </c>
    </row>
    <row r="64" spans="1:42" outlineLevel="2" x14ac:dyDescent="0.2">
      <c r="A64" s="1075">
        <v>506</v>
      </c>
      <c r="B64" s="1078" t="s">
        <v>3069</v>
      </c>
      <c r="F64" s="1075">
        <v>811000</v>
      </c>
      <c r="M64" s="1075" t="s">
        <v>130</v>
      </c>
      <c r="O64" s="1077">
        <v>0</v>
      </c>
      <c r="Q64" s="1074">
        <v>0</v>
      </c>
      <c r="R64" s="1074"/>
      <c r="S64" s="1074"/>
      <c r="T64" s="1074"/>
      <c r="U64" s="1074"/>
      <c r="V64" s="1074"/>
      <c r="W64" s="1074"/>
      <c r="X64" s="1074"/>
      <c r="Y64" s="1074"/>
      <c r="Z64" s="1074"/>
      <c r="AA64" s="1074"/>
      <c r="AB64" s="1074"/>
      <c r="AC64" s="1074"/>
      <c r="AD64" s="1074"/>
      <c r="AE64" s="1074"/>
      <c r="AF64" s="1074"/>
      <c r="AG64" s="1095">
        <v>0</v>
      </c>
      <c r="AH64" s="1074">
        <v>0</v>
      </c>
      <c r="AI64" s="1074">
        <v>0</v>
      </c>
      <c r="AJ64" s="1077">
        <v>0</v>
      </c>
      <c r="AK64" s="1074">
        <v>0</v>
      </c>
      <c r="AL64" s="1109">
        <v>1</v>
      </c>
      <c r="AM64" s="1111">
        <f>250000*0.5</f>
        <v>125000</v>
      </c>
      <c r="AN64" s="1085">
        <f t="shared" ref="AN64:AO67" si="30">AL64</f>
        <v>1</v>
      </c>
      <c r="AO64" s="1074">
        <f t="shared" si="30"/>
        <v>125000</v>
      </c>
      <c r="AP64" s="1080"/>
    </row>
    <row r="65" spans="1:42" outlineLevel="2" x14ac:dyDescent="0.2">
      <c r="A65" s="1075">
        <v>506</v>
      </c>
      <c r="B65" s="1078">
        <v>2827928</v>
      </c>
      <c r="C65" s="1075">
        <v>28279289</v>
      </c>
      <c r="D65" s="1075" t="s">
        <v>2280</v>
      </c>
      <c r="E65" s="1075" t="s">
        <v>2281</v>
      </c>
      <c r="F65" s="1075">
        <v>811000</v>
      </c>
      <c r="G65" s="1075" t="s">
        <v>2107</v>
      </c>
      <c r="H65" s="1075">
        <v>90534</v>
      </c>
      <c r="I65" s="1075">
        <v>0</v>
      </c>
      <c r="J65" s="1075">
        <v>3</v>
      </c>
      <c r="K65" s="1075">
        <v>2</v>
      </c>
      <c r="L65" s="1075">
        <v>0</v>
      </c>
      <c r="M65" s="1075" t="s">
        <v>130</v>
      </c>
      <c r="O65" s="1077">
        <f>P65/100</f>
        <v>1</v>
      </c>
      <c r="P65" s="1075">
        <v>100</v>
      </c>
      <c r="Q65" s="1074">
        <v>14205.99</v>
      </c>
      <c r="R65" s="1074">
        <v>1131.2</v>
      </c>
      <c r="S65" s="1074">
        <v>639.79999999999995</v>
      </c>
      <c r="T65" s="1074">
        <v>11560.14</v>
      </c>
      <c r="U65" s="1074">
        <v>0</v>
      </c>
      <c r="V65" s="1074">
        <v>0</v>
      </c>
      <c r="W65" s="1074">
        <v>340.45</v>
      </c>
      <c r="X65" s="1074">
        <v>248.35</v>
      </c>
      <c r="Y65" s="1074">
        <v>169.6</v>
      </c>
      <c r="Z65" s="1074">
        <v>0</v>
      </c>
      <c r="AA65" s="1074">
        <v>10801.74</v>
      </c>
      <c r="AB65" s="1074">
        <v>874.85</v>
      </c>
      <c r="AC65" s="1074">
        <v>0</v>
      </c>
      <c r="AD65" s="1074">
        <v>0</v>
      </c>
      <c r="AE65" s="1074">
        <v>1811000</v>
      </c>
      <c r="AF65" s="1074" t="s">
        <v>251</v>
      </c>
      <c r="AG65" s="1095">
        <f>VLOOKUP(B65,עזר!A$2:B$329,2,FALSE)</f>
        <v>132679.60999999999</v>
      </c>
      <c r="AH65" s="1074">
        <f>Q65*3</f>
        <v>42617.97</v>
      </c>
      <c r="AI65" s="1074">
        <f>AH65+AG65</f>
        <v>175297.58</v>
      </c>
      <c r="AJ65" s="1077">
        <f>VLOOKUP(B65,Sheet1!D$2:K$430,7,FALSE)</f>
        <v>1</v>
      </c>
      <c r="AK65" s="1074">
        <f>VLOOKUP(B65,Sheet1!D$2:L$430,8,FALSE)</f>
        <v>160000</v>
      </c>
      <c r="AL65" s="1109">
        <f>O65</f>
        <v>1</v>
      </c>
      <c r="AM65" s="1074">
        <f>AI65*1.02</f>
        <v>178803.53159999999</v>
      </c>
      <c r="AN65" s="1085">
        <f t="shared" si="30"/>
        <v>1</v>
      </c>
      <c r="AO65" s="1074">
        <f t="shared" si="30"/>
        <v>178803.53159999999</v>
      </c>
      <c r="AP65" s="1080"/>
    </row>
    <row r="66" spans="1:42" outlineLevel="2" x14ac:dyDescent="0.2">
      <c r="A66" s="1075">
        <v>506</v>
      </c>
      <c r="B66" s="1078">
        <v>4170918</v>
      </c>
      <c r="C66" s="1075">
        <v>41709189</v>
      </c>
      <c r="D66" s="1075" t="s">
        <v>1709</v>
      </c>
      <c r="E66" s="1075" t="s">
        <v>2282</v>
      </c>
      <c r="F66" s="1075">
        <v>811000</v>
      </c>
      <c r="G66" s="1075" t="s">
        <v>2107</v>
      </c>
      <c r="H66" s="1075">
        <v>90534</v>
      </c>
      <c r="I66" s="1075">
        <v>0</v>
      </c>
      <c r="J66" s="1075">
        <v>5</v>
      </c>
      <c r="K66" s="1075">
        <v>7</v>
      </c>
      <c r="L66" s="1075">
        <v>0</v>
      </c>
      <c r="M66" s="1075" t="s">
        <v>130</v>
      </c>
      <c r="O66" s="1077">
        <f>P66/100</f>
        <v>1</v>
      </c>
      <c r="P66" s="1075">
        <v>100</v>
      </c>
      <c r="Q66" s="1074">
        <v>7994.36</v>
      </c>
      <c r="R66" s="1074">
        <v>1233.4000000000001</v>
      </c>
      <c r="S66" s="1074">
        <v>221.2</v>
      </c>
      <c r="T66" s="1074">
        <v>6083.51</v>
      </c>
      <c r="U66" s="1074">
        <v>0</v>
      </c>
      <c r="V66" s="1074">
        <v>0</v>
      </c>
      <c r="W66" s="1074">
        <v>0</v>
      </c>
      <c r="X66" s="1074">
        <v>0</v>
      </c>
      <c r="Y66" s="1074">
        <v>213.2</v>
      </c>
      <c r="Z66" s="1074">
        <v>0</v>
      </c>
      <c r="AA66" s="1074">
        <v>5870.31</v>
      </c>
      <c r="AB66" s="1074">
        <v>456.25</v>
      </c>
      <c r="AC66" s="1074">
        <v>0</v>
      </c>
      <c r="AD66" s="1074">
        <v>0</v>
      </c>
      <c r="AE66" s="1074">
        <v>1811000</v>
      </c>
      <c r="AF66" s="1074" t="s">
        <v>251</v>
      </c>
      <c r="AG66" s="1095">
        <f>VLOOKUP(B66,עזר!A$2:B$329,2,FALSE)</f>
        <v>80607.03</v>
      </c>
      <c r="AH66" s="1074">
        <f>Q66*3</f>
        <v>23983.079999999998</v>
      </c>
      <c r="AI66" s="1074">
        <f>AH66+AG66</f>
        <v>104590.11</v>
      </c>
      <c r="AJ66" s="1077">
        <f>VLOOKUP(B66,Sheet1!D$2:K$430,7,FALSE)</f>
        <v>1</v>
      </c>
      <c r="AK66" s="1074">
        <f>VLOOKUP(B66,Sheet1!D$2:L$430,8,FALSE)</f>
        <v>88000</v>
      </c>
      <c r="AL66" s="1109">
        <f>O66</f>
        <v>1</v>
      </c>
      <c r="AM66" s="1074">
        <f>AI66*1.02</f>
        <v>106681.91220000001</v>
      </c>
      <c r="AN66" s="1085">
        <f t="shared" si="30"/>
        <v>1</v>
      </c>
      <c r="AO66" s="1074">
        <f t="shared" si="30"/>
        <v>106681.91220000001</v>
      </c>
      <c r="AP66" s="1080"/>
    </row>
    <row r="67" spans="1:42" outlineLevel="2" x14ac:dyDescent="0.2">
      <c r="A67" s="1075">
        <v>506</v>
      </c>
      <c r="B67" s="1078">
        <v>5443083</v>
      </c>
      <c r="C67" s="1075">
        <v>54430830</v>
      </c>
      <c r="D67" s="1075" t="s">
        <v>1419</v>
      </c>
      <c r="E67" s="1075" t="s">
        <v>2283</v>
      </c>
      <c r="F67" s="1075">
        <v>811000</v>
      </c>
      <c r="G67" s="1075" t="s">
        <v>2107</v>
      </c>
      <c r="H67" s="1075">
        <v>90534</v>
      </c>
      <c r="I67" s="1075">
        <v>1</v>
      </c>
      <c r="J67" s="1075">
        <v>0</v>
      </c>
      <c r="K67" s="1075">
        <v>0</v>
      </c>
      <c r="L67" s="1075">
        <v>0</v>
      </c>
      <c r="M67" s="1075" t="s">
        <v>130</v>
      </c>
      <c r="O67" s="1077">
        <f>P67/100</f>
        <v>0</v>
      </c>
      <c r="P67" s="1075">
        <v>0</v>
      </c>
      <c r="Q67" s="1074">
        <v>1.7</v>
      </c>
      <c r="R67" s="1074">
        <v>0</v>
      </c>
      <c r="S67" s="1074">
        <v>0.06</v>
      </c>
      <c r="T67" s="1074">
        <v>1.45</v>
      </c>
      <c r="U67" s="1074">
        <v>0</v>
      </c>
      <c r="V67" s="1074">
        <v>0</v>
      </c>
      <c r="W67" s="1074">
        <v>0</v>
      </c>
      <c r="X67" s="1074">
        <v>1.45</v>
      </c>
      <c r="Y67" s="1074">
        <v>0</v>
      </c>
      <c r="Z67" s="1074">
        <v>0</v>
      </c>
      <c r="AA67" s="1074">
        <v>0</v>
      </c>
      <c r="AB67" s="1074">
        <v>0.19</v>
      </c>
      <c r="AC67" s="1074">
        <v>0</v>
      </c>
      <c r="AD67" s="1074">
        <v>0</v>
      </c>
      <c r="AE67" s="1074">
        <v>1811000</v>
      </c>
      <c r="AF67" s="1074" t="s">
        <v>251</v>
      </c>
      <c r="AG67" s="1095">
        <f>VLOOKUP(B67,עזר!A$2:B$329,2,FALSE)</f>
        <v>239997.87</v>
      </c>
      <c r="AH67" s="1074">
        <f>Q67*3</f>
        <v>5.0999999999999996</v>
      </c>
      <c r="AI67" s="1074">
        <f>AH67+AG67</f>
        <v>240002.97</v>
      </c>
      <c r="AJ67" s="1077">
        <v>1</v>
      </c>
      <c r="AK67" s="1074">
        <v>82000</v>
      </c>
      <c r="AL67" s="1109">
        <f>O67</f>
        <v>0</v>
      </c>
      <c r="AM67" s="1074">
        <v>0</v>
      </c>
      <c r="AN67" s="1085">
        <f t="shared" si="30"/>
        <v>0</v>
      </c>
      <c r="AO67" s="1074">
        <f t="shared" si="30"/>
        <v>0</v>
      </c>
      <c r="AP67" s="1080"/>
    </row>
    <row r="68" spans="1:42" outlineLevel="1" x14ac:dyDescent="0.2">
      <c r="B68" s="1078"/>
      <c r="F68" s="1088" t="s">
        <v>3091</v>
      </c>
      <c r="O68" s="1077">
        <f>SUBTOTAL(9,O64:O67)</f>
        <v>2</v>
      </c>
      <c r="Q68" s="1074">
        <f>SUBTOTAL(9,Q64:Q67)</f>
        <v>22202.05</v>
      </c>
      <c r="R68" s="1074"/>
      <c r="S68" s="1074"/>
      <c r="T68" s="1074"/>
      <c r="U68" s="1074"/>
      <c r="V68" s="1074"/>
      <c r="W68" s="1074"/>
      <c r="X68" s="1074"/>
      <c r="Y68" s="1074"/>
      <c r="Z68" s="1074"/>
      <c r="AA68" s="1074"/>
      <c r="AB68" s="1074"/>
      <c r="AC68" s="1074"/>
      <c r="AD68" s="1074"/>
      <c r="AE68" s="1074"/>
      <c r="AF68" s="1074"/>
      <c r="AG68" s="1095">
        <f t="shared" ref="AG68:AM68" si="31">SUBTOTAL(9,AG64:AG67)</f>
        <v>453284.51</v>
      </c>
      <c r="AH68" s="1074">
        <f t="shared" si="31"/>
        <v>66606.150000000009</v>
      </c>
      <c r="AI68" s="1074">
        <f t="shared" si="31"/>
        <v>519890.66000000003</v>
      </c>
      <c r="AJ68" s="1077">
        <f t="shared" si="31"/>
        <v>3</v>
      </c>
      <c r="AK68" s="1074">
        <f t="shared" si="31"/>
        <v>330000</v>
      </c>
      <c r="AL68" s="1109">
        <f t="shared" si="31"/>
        <v>3</v>
      </c>
      <c r="AM68" s="1074">
        <f t="shared" si="31"/>
        <v>410485.44380000001</v>
      </c>
      <c r="AP68" s="1080">
        <f>SUBTOTAL(9,AP64:AP67)</f>
        <v>0</v>
      </c>
    </row>
    <row r="69" spans="1:42" outlineLevel="2" x14ac:dyDescent="0.2">
      <c r="A69" s="1075">
        <v>506</v>
      </c>
      <c r="B69" s="1078">
        <v>2328691</v>
      </c>
      <c r="C69" s="1075">
        <v>23286917</v>
      </c>
      <c r="D69" s="1075" t="s">
        <v>2106</v>
      </c>
      <c r="E69" s="1075" t="s">
        <v>1424</v>
      </c>
      <c r="F69" s="1075">
        <v>812200</v>
      </c>
      <c r="G69" s="1075" t="s">
        <v>2107</v>
      </c>
      <c r="H69" s="1075">
        <v>90534</v>
      </c>
      <c r="I69" s="1075">
        <v>1</v>
      </c>
      <c r="J69" s="1075">
        <v>0</v>
      </c>
      <c r="K69" s="1075">
        <v>0</v>
      </c>
      <c r="L69" s="1075">
        <v>0</v>
      </c>
      <c r="M69" s="1075" t="s">
        <v>1868</v>
      </c>
      <c r="N69" s="1075" t="s">
        <v>3172</v>
      </c>
      <c r="O69" s="1077">
        <f>P69/100</f>
        <v>0</v>
      </c>
      <c r="P69" s="1075">
        <v>0</v>
      </c>
      <c r="Q69" s="1074">
        <v>4034.56</v>
      </c>
      <c r="R69" s="1074">
        <v>0</v>
      </c>
      <c r="S69" s="1074">
        <v>252.01</v>
      </c>
      <c r="T69" s="1074">
        <v>3518.65</v>
      </c>
      <c r="U69" s="1074">
        <v>0</v>
      </c>
      <c r="V69" s="1074">
        <v>0</v>
      </c>
      <c r="W69" s="1074">
        <v>0</v>
      </c>
      <c r="X69" s="1074">
        <v>0</v>
      </c>
      <c r="Y69" s="1074">
        <v>0</v>
      </c>
      <c r="Z69" s="1074">
        <v>0</v>
      </c>
      <c r="AA69" s="1074">
        <v>3518.65</v>
      </c>
      <c r="AB69" s="1074">
        <v>263.89999999999998</v>
      </c>
      <c r="AC69" s="1074">
        <v>0</v>
      </c>
      <c r="AD69" s="1074">
        <v>0</v>
      </c>
      <c r="AE69" s="1074">
        <v>1812200</v>
      </c>
      <c r="AF69" s="1074" t="s">
        <v>251</v>
      </c>
      <c r="AG69" s="1095">
        <f>VLOOKUP(B69,עזר!A$2:B$329,2,FALSE)</f>
        <v>80693.849999999991</v>
      </c>
      <c r="AH69" s="1074">
        <f t="shared" ref="AH69:AH80" si="32">Q69*3</f>
        <v>12103.68</v>
      </c>
      <c r="AI69" s="1074">
        <f t="shared" ref="AI69:AI79" si="33">AH69+AG69</f>
        <v>92797.53</v>
      </c>
      <c r="AJ69" s="1077">
        <f>VLOOKUP(B69,Sheet1!D$2:K$430,7,FALSE)</f>
        <v>0.83</v>
      </c>
      <c r="AK69" s="1074">
        <f>VLOOKUP(B69,Sheet1!D$2:L$430,8,FALSE)</f>
        <v>97087</v>
      </c>
      <c r="AL69" s="1109">
        <f>O69</f>
        <v>0</v>
      </c>
      <c r="AM69" s="1074">
        <v>0</v>
      </c>
      <c r="AN69" s="1085">
        <f t="shared" ref="AN69:AN80" si="34">AL69</f>
        <v>0</v>
      </c>
      <c r="AO69" s="1074">
        <f t="shared" ref="AO69:AO80" si="35">AM69</f>
        <v>0</v>
      </c>
      <c r="AP69" s="1080"/>
    </row>
    <row r="70" spans="1:42" outlineLevel="2" x14ac:dyDescent="0.2">
      <c r="A70" s="1075">
        <v>506</v>
      </c>
      <c r="B70" s="1078">
        <v>2618870</v>
      </c>
      <c r="C70" s="1075">
        <v>26188706</v>
      </c>
      <c r="D70" s="1075" t="s">
        <v>1600</v>
      </c>
      <c r="E70" s="1075" t="s">
        <v>2110</v>
      </c>
      <c r="F70" s="1075">
        <v>812200</v>
      </c>
      <c r="G70" s="1075" t="s">
        <v>2107</v>
      </c>
      <c r="H70" s="1075">
        <v>90534</v>
      </c>
      <c r="I70" s="1075">
        <v>0</v>
      </c>
      <c r="J70" s="1075">
        <v>5</v>
      </c>
      <c r="K70" s="1075">
        <v>6</v>
      </c>
      <c r="L70" s="1075">
        <v>0</v>
      </c>
      <c r="M70" s="1075" t="s">
        <v>1868</v>
      </c>
      <c r="N70" s="1075" t="s">
        <v>3172</v>
      </c>
      <c r="O70" s="1077">
        <f>P70/100</f>
        <v>0.83</v>
      </c>
      <c r="P70" s="1075">
        <v>83</v>
      </c>
      <c r="Q70" s="1074">
        <v>6654.2</v>
      </c>
      <c r="R70" s="1074">
        <v>1037.3499999999999</v>
      </c>
      <c r="S70" s="1074">
        <v>174.66</v>
      </c>
      <c r="T70" s="1074">
        <v>5062.49</v>
      </c>
      <c r="U70" s="1074">
        <v>0</v>
      </c>
      <c r="V70" s="1074">
        <v>0</v>
      </c>
      <c r="W70" s="1074">
        <v>0</v>
      </c>
      <c r="X70" s="1074">
        <v>0</v>
      </c>
      <c r="Y70" s="1074">
        <v>161.15</v>
      </c>
      <c r="Z70" s="1074">
        <v>0</v>
      </c>
      <c r="AA70" s="1074">
        <v>4901.34</v>
      </c>
      <c r="AB70" s="1074">
        <v>379.7</v>
      </c>
      <c r="AC70" s="1074">
        <v>0</v>
      </c>
      <c r="AD70" s="1074">
        <v>0</v>
      </c>
      <c r="AE70" s="1074">
        <v>1812200</v>
      </c>
      <c r="AF70" s="1074" t="s">
        <v>251</v>
      </c>
      <c r="AG70" s="1095">
        <f>VLOOKUP(B70,עזר!A$2:B$329,2,FALSE)</f>
        <v>66285.47</v>
      </c>
      <c r="AH70" s="1074">
        <f t="shared" si="32"/>
        <v>19962.599999999999</v>
      </c>
      <c r="AI70" s="1074">
        <f t="shared" si="33"/>
        <v>86248.07</v>
      </c>
      <c r="AJ70" s="1077">
        <f>VLOOKUP(B70,Sheet1!D$2:K$430,7,FALSE)</f>
        <v>0.83</v>
      </c>
      <c r="AK70" s="1074">
        <f>VLOOKUP(B70,Sheet1!D$2:L$430,8,FALSE)</f>
        <v>80714</v>
      </c>
      <c r="AL70" s="1109">
        <f>O70</f>
        <v>0.83</v>
      </c>
      <c r="AM70" s="1074">
        <f>AI70*1.02</f>
        <v>87973.031400000007</v>
      </c>
      <c r="AN70" s="1085">
        <f t="shared" si="34"/>
        <v>0.83</v>
      </c>
      <c r="AO70" s="1074">
        <f t="shared" si="35"/>
        <v>87973.031400000007</v>
      </c>
      <c r="AP70" s="1080"/>
    </row>
    <row r="71" spans="1:42" outlineLevel="2" x14ac:dyDescent="0.2">
      <c r="A71" s="1075">
        <v>506</v>
      </c>
      <c r="B71" s="1078">
        <v>2824458</v>
      </c>
      <c r="C71" s="1075">
        <v>28244580</v>
      </c>
      <c r="D71" s="1075" t="s">
        <v>2111</v>
      </c>
      <c r="E71" s="1075" t="s">
        <v>1820</v>
      </c>
      <c r="F71" s="1075">
        <v>812200</v>
      </c>
      <c r="G71" s="1075" t="s">
        <v>2107</v>
      </c>
      <c r="H71" s="1075">
        <v>90534</v>
      </c>
      <c r="I71" s="1075">
        <v>0</v>
      </c>
      <c r="J71" s="1075">
        <v>5</v>
      </c>
      <c r="K71" s="1075">
        <v>37</v>
      </c>
      <c r="L71" s="1075">
        <v>0</v>
      </c>
      <c r="M71" s="1075" t="s">
        <v>1868</v>
      </c>
      <c r="N71" s="1075" t="s">
        <v>3172</v>
      </c>
      <c r="O71" s="1077">
        <f>P71/100</f>
        <v>0.83</v>
      </c>
      <c r="P71" s="1075">
        <v>83</v>
      </c>
      <c r="Q71" s="1074">
        <v>8021.1</v>
      </c>
      <c r="R71" s="1074">
        <v>1380.05</v>
      </c>
      <c r="S71" s="1074">
        <v>216.73</v>
      </c>
      <c r="T71" s="1074">
        <v>5972.52</v>
      </c>
      <c r="U71" s="1074">
        <v>0</v>
      </c>
      <c r="V71" s="1074">
        <v>0</v>
      </c>
      <c r="W71" s="1074">
        <v>0</v>
      </c>
      <c r="X71" s="1074">
        <v>0</v>
      </c>
      <c r="Y71" s="1074">
        <v>127.5</v>
      </c>
      <c r="Z71" s="1074">
        <v>0</v>
      </c>
      <c r="AA71" s="1074">
        <v>5845.02</v>
      </c>
      <c r="AB71" s="1074">
        <v>451.8</v>
      </c>
      <c r="AC71" s="1074">
        <v>0</v>
      </c>
      <c r="AD71" s="1074">
        <v>0</v>
      </c>
      <c r="AE71" s="1074">
        <v>1812200</v>
      </c>
      <c r="AF71" s="1074" t="s">
        <v>251</v>
      </c>
      <c r="AG71" s="1095">
        <f>VLOOKUP(B71,עזר!A$2:B$329,2,FALSE)</f>
        <v>80225.350000000006</v>
      </c>
      <c r="AH71" s="1074">
        <f t="shared" si="32"/>
        <v>24063.300000000003</v>
      </c>
      <c r="AI71" s="1074">
        <f t="shared" si="33"/>
        <v>104288.65000000001</v>
      </c>
      <c r="AJ71" s="1077">
        <f>VLOOKUP(B71,Sheet1!D$2:K$430,7,FALSE)</f>
        <v>0.83</v>
      </c>
      <c r="AK71" s="1074">
        <f>VLOOKUP(B71,Sheet1!D$2:L$430,8,FALSE)</f>
        <v>94089</v>
      </c>
      <c r="AL71" s="1109">
        <f>O71</f>
        <v>0.83</v>
      </c>
      <c r="AM71" s="1074">
        <f>AI71*1.02</f>
        <v>106374.42300000001</v>
      </c>
      <c r="AN71" s="1085">
        <f t="shared" si="34"/>
        <v>0.83</v>
      </c>
      <c r="AO71" s="1074">
        <f t="shared" si="35"/>
        <v>106374.42300000001</v>
      </c>
      <c r="AP71" s="1080"/>
    </row>
    <row r="72" spans="1:42" outlineLevel="2" x14ac:dyDescent="0.2">
      <c r="A72" s="1075">
        <v>506</v>
      </c>
      <c r="B72" s="1078">
        <v>2921221</v>
      </c>
      <c r="C72" s="1075">
        <v>29212214</v>
      </c>
      <c r="D72" s="1075" t="s">
        <v>2112</v>
      </c>
      <c r="E72" s="1075" t="s">
        <v>2113</v>
      </c>
      <c r="F72" s="1075">
        <v>812200</v>
      </c>
      <c r="G72" s="1075" t="s">
        <v>2107</v>
      </c>
      <c r="H72" s="1075">
        <v>90534</v>
      </c>
      <c r="I72" s="1075">
        <v>0</v>
      </c>
      <c r="J72" s="1075">
        <v>5</v>
      </c>
      <c r="K72" s="1075">
        <v>37</v>
      </c>
      <c r="L72" s="1075">
        <v>0</v>
      </c>
      <c r="M72" s="1075" t="s">
        <v>1868</v>
      </c>
      <c r="N72" s="1075" t="s">
        <v>3172</v>
      </c>
      <c r="O72" s="1077">
        <f>P72/100</f>
        <v>0.83</v>
      </c>
      <c r="P72" s="1075">
        <v>83</v>
      </c>
      <c r="Q72" s="1074">
        <v>8285.5300000000007</v>
      </c>
      <c r="R72" s="1074">
        <v>1427.75</v>
      </c>
      <c r="S72" s="1074">
        <v>231.02</v>
      </c>
      <c r="T72" s="1074">
        <v>6160.66</v>
      </c>
      <c r="U72" s="1074">
        <v>0</v>
      </c>
      <c r="V72" s="1074">
        <v>0</v>
      </c>
      <c r="W72" s="1074">
        <v>0</v>
      </c>
      <c r="X72" s="1074">
        <v>0</v>
      </c>
      <c r="Y72" s="1074">
        <v>108.15</v>
      </c>
      <c r="Z72" s="1074">
        <v>0</v>
      </c>
      <c r="AA72" s="1074">
        <v>6052.51</v>
      </c>
      <c r="AB72" s="1074">
        <v>466.1</v>
      </c>
      <c r="AC72" s="1074">
        <v>0</v>
      </c>
      <c r="AD72" s="1074">
        <v>0</v>
      </c>
      <c r="AE72" s="1074">
        <v>1812200</v>
      </c>
      <c r="AF72" s="1074" t="s">
        <v>251</v>
      </c>
      <c r="AG72" s="1095">
        <f>VLOOKUP(B72,עזר!A$2:B$329,2,FALSE)</f>
        <v>81453.919999999998</v>
      </c>
      <c r="AH72" s="1074">
        <f t="shared" si="32"/>
        <v>24856.590000000004</v>
      </c>
      <c r="AI72" s="1074">
        <f t="shared" si="33"/>
        <v>106310.51000000001</v>
      </c>
      <c r="AJ72" s="1077">
        <f>VLOOKUP(B72,Sheet1!D$2:K$430,7,FALSE)</f>
        <v>0.83</v>
      </c>
      <c r="AK72" s="1074">
        <f>VLOOKUP(B72,Sheet1!D$2:L$430,8,FALSE)</f>
        <v>98970</v>
      </c>
      <c r="AL72" s="1109">
        <f>O72</f>
        <v>0.83</v>
      </c>
      <c r="AM72" s="1074">
        <f>AI72*1.02</f>
        <v>108436.72020000001</v>
      </c>
      <c r="AN72" s="1085">
        <f t="shared" si="34"/>
        <v>0.83</v>
      </c>
      <c r="AO72" s="1074">
        <f t="shared" si="35"/>
        <v>108436.72020000001</v>
      </c>
      <c r="AP72" s="1080"/>
    </row>
    <row r="73" spans="1:42" outlineLevel="2" x14ac:dyDescent="0.2">
      <c r="A73" s="1075">
        <v>506</v>
      </c>
      <c r="B73" s="1078">
        <v>2996880</v>
      </c>
      <c r="C73" s="1075">
        <v>29968807</v>
      </c>
      <c r="D73" s="1075" t="s">
        <v>2114</v>
      </c>
      <c r="E73" s="1075" t="s">
        <v>2115</v>
      </c>
      <c r="F73" s="1075">
        <v>812200</v>
      </c>
      <c r="G73" s="1075" t="s">
        <v>2107</v>
      </c>
      <c r="H73" s="1075">
        <v>90534</v>
      </c>
      <c r="I73" s="1075">
        <v>0</v>
      </c>
      <c r="J73" s="1075">
        <v>5</v>
      </c>
      <c r="K73" s="1075">
        <v>6</v>
      </c>
      <c r="L73" s="1075">
        <v>0</v>
      </c>
      <c r="M73" s="1075" t="s">
        <v>1868</v>
      </c>
      <c r="N73" s="1075" t="s">
        <v>3172</v>
      </c>
      <c r="O73" s="1077">
        <f>P73/100</f>
        <v>0.83</v>
      </c>
      <c r="P73" s="1075">
        <v>83</v>
      </c>
      <c r="Q73" s="1074">
        <v>6849.14</v>
      </c>
      <c r="R73" s="1074">
        <v>1179.0999999999999</v>
      </c>
      <c r="S73" s="1074">
        <v>177.67</v>
      </c>
      <c r="T73" s="1074">
        <v>5106.12</v>
      </c>
      <c r="U73" s="1074">
        <v>0</v>
      </c>
      <c r="V73" s="1074">
        <v>0</v>
      </c>
      <c r="W73" s="1074">
        <v>0</v>
      </c>
      <c r="X73" s="1074">
        <v>0</v>
      </c>
      <c r="Y73" s="1074">
        <v>112.75</v>
      </c>
      <c r="Z73" s="1074">
        <v>0</v>
      </c>
      <c r="AA73" s="1074">
        <v>4993.37</v>
      </c>
      <c r="AB73" s="1074">
        <v>386.25</v>
      </c>
      <c r="AC73" s="1074">
        <v>0</v>
      </c>
      <c r="AD73" s="1074">
        <v>0</v>
      </c>
      <c r="AE73" s="1074">
        <v>1812200</v>
      </c>
      <c r="AF73" s="1074" t="s">
        <v>251</v>
      </c>
      <c r="AG73" s="1095">
        <f>VLOOKUP(B73,עזר!A$2:B$329,2,FALSE)</f>
        <v>68185.399999999994</v>
      </c>
      <c r="AH73" s="1074">
        <f t="shared" si="32"/>
        <v>20547.420000000002</v>
      </c>
      <c r="AI73" s="1074">
        <f t="shared" si="33"/>
        <v>88732.819999999992</v>
      </c>
      <c r="AJ73" s="1077">
        <f>VLOOKUP(B73,Sheet1!D$2:K$430,7,FALSE)</f>
        <v>0.83</v>
      </c>
      <c r="AK73" s="1074">
        <f>VLOOKUP(B73,Sheet1!D$2:L$430,8,FALSE)</f>
        <v>76968</v>
      </c>
      <c r="AL73" s="1109">
        <f>O73</f>
        <v>0.83</v>
      </c>
      <c r="AM73" s="1074">
        <f>AI73*1.02</f>
        <v>90507.4764</v>
      </c>
      <c r="AN73" s="1085">
        <f t="shared" si="34"/>
        <v>0.83</v>
      </c>
      <c r="AO73" s="1074">
        <f t="shared" si="35"/>
        <v>90507.4764</v>
      </c>
      <c r="AP73" s="1080"/>
    </row>
    <row r="74" spans="1:42" outlineLevel="2" x14ac:dyDescent="0.2">
      <c r="A74" s="1075">
        <v>506</v>
      </c>
      <c r="B74" s="1075">
        <v>3452404</v>
      </c>
      <c r="C74" s="1075">
        <v>34524041</v>
      </c>
      <c r="D74" s="1075" t="s">
        <v>2143</v>
      </c>
      <c r="E74" s="1075" t="s">
        <v>2385</v>
      </c>
      <c r="F74" s="1075">
        <v>812200</v>
      </c>
      <c r="G74" s="1075" t="s">
        <v>2384</v>
      </c>
      <c r="H74" s="1075">
        <v>90534</v>
      </c>
      <c r="I74" s="1075">
        <v>0</v>
      </c>
      <c r="J74" s="1075">
        <v>5</v>
      </c>
      <c r="K74" s="1075">
        <v>37</v>
      </c>
      <c r="L74" s="1075">
        <v>0</v>
      </c>
      <c r="M74" s="1075" t="s">
        <v>1868</v>
      </c>
      <c r="N74" s="1075" t="s">
        <v>3172</v>
      </c>
      <c r="O74" s="1077">
        <f>664/900</f>
        <v>0.73777777777777775</v>
      </c>
      <c r="Q74" s="1074">
        <v>0</v>
      </c>
      <c r="R74" s="1074"/>
      <c r="S74" s="1074"/>
      <c r="T74" s="1074"/>
      <c r="U74" s="1074"/>
      <c r="V74" s="1074"/>
      <c r="W74" s="1074"/>
      <c r="X74" s="1074"/>
      <c r="Y74" s="1074"/>
      <c r="Z74" s="1074"/>
      <c r="AA74" s="1074"/>
      <c r="AB74" s="1074"/>
      <c r="AC74" s="1074"/>
      <c r="AD74" s="1074"/>
      <c r="AE74" s="1074"/>
      <c r="AF74" s="1074"/>
      <c r="AG74" s="1095">
        <f>VLOOKUP(B74,עזר!A$2:B$329,2,FALSE)</f>
        <v>71061.73</v>
      </c>
      <c r="AH74" s="1074">
        <f t="shared" si="32"/>
        <v>0</v>
      </c>
      <c r="AI74" s="1074">
        <f t="shared" si="33"/>
        <v>71061.73</v>
      </c>
      <c r="AJ74" s="1077">
        <f>VLOOKUP(B74,Sheet1!D$2:K$430,7,FALSE)</f>
        <v>0.83</v>
      </c>
      <c r="AK74" s="1074">
        <f>VLOOKUP(B74,Sheet1!D$2:L$430,8,FALSE)</f>
        <v>99462</v>
      </c>
      <c r="AL74" s="1109">
        <v>0</v>
      </c>
      <c r="AM74" s="1074">
        <v>0</v>
      </c>
      <c r="AN74" s="1085">
        <f t="shared" si="34"/>
        <v>0</v>
      </c>
      <c r="AO74" s="1074">
        <f t="shared" si="35"/>
        <v>0</v>
      </c>
      <c r="AP74" s="1080"/>
    </row>
    <row r="75" spans="1:42" outlineLevel="2" x14ac:dyDescent="0.2">
      <c r="A75" s="1075">
        <v>506</v>
      </c>
      <c r="B75" s="1075">
        <v>3644372</v>
      </c>
      <c r="C75" s="1075">
        <v>36443729</v>
      </c>
      <c r="D75" s="1075" t="s">
        <v>2386</v>
      </c>
      <c r="E75" s="1075" t="s">
        <v>2130</v>
      </c>
      <c r="F75" s="1075">
        <v>812200</v>
      </c>
      <c r="G75" s="1075" t="s">
        <v>2384</v>
      </c>
      <c r="H75" s="1075">
        <v>90534</v>
      </c>
      <c r="I75" s="1075">
        <v>0</v>
      </c>
      <c r="J75" s="1075">
        <v>5</v>
      </c>
      <c r="K75" s="1075">
        <v>6</v>
      </c>
      <c r="L75" s="1075">
        <v>0</v>
      </c>
      <c r="M75" s="1075" t="s">
        <v>1868</v>
      </c>
      <c r="N75" s="1075" t="s">
        <v>3172</v>
      </c>
      <c r="O75" s="1077">
        <f>166/900</f>
        <v>0.18444444444444444</v>
      </c>
      <c r="Q75" s="1074">
        <v>0</v>
      </c>
      <c r="R75" s="1074"/>
      <c r="S75" s="1074"/>
      <c r="T75" s="1074"/>
      <c r="U75" s="1074"/>
      <c r="V75" s="1074"/>
      <c r="W75" s="1074"/>
      <c r="X75" s="1074"/>
      <c r="Y75" s="1074"/>
      <c r="Z75" s="1074"/>
      <c r="AA75" s="1074"/>
      <c r="AB75" s="1074"/>
      <c r="AC75" s="1074"/>
      <c r="AD75" s="1074"/>
      <c r="AE75" s="1074"/>
      <c r="AF75" s="1074"/>
      <c r="AG75" s="1095">
        <f>VLOOKUP(B75,עזר!A$2:B$329,2,FALSE)</f>
        <v>8000.65</v>
      </c>
      <c r="AH75" s="1074">
        <f t="shared" si="32"/>
        <v>0</v>
      </c>
      <c r="AI75" s="1074">
        <f t="shared" si="33"/>
        <v>8000.65</v>
      </c>
      <c r="AJ75" s="1077">
        <f>VLOOKUP(B75,Sheet1!D$2:K$430,7,FALSE)</f>
        <v>0.83</v>
      </c>
      <c r="AK75" s="1074">
        <f>VLOOKUP(B75,Sheet1!D$2:L$430,8,FALSE)</f>
        <v>76590</v>
      </c>
      <c r="AL75" s="1109">
        <v>0</v>
      </c>
      <c r="AM75" s="1074">
        <v>0</v>
      </c>
      <c r="AN75" s="1085">
        <f t="shared" si="34"/>
        <v>0</v>
      </c>
      <c r="AO75" s="1074">
        <f t="shared" si="35"/>
        <v>0</v>
      </c>
      <c r="AP75" s="1080"/>
    </row>
    <row r="76" spans="1:42" outlineLevel="2" x14ac:dyDescent="0.2">
      <c r="A76" s="1075">
        <v>506</v>
      </c>
      <c r="B76" s="1078">
        <v>5371560</v>
      </c>
      <c r="C76" s="1075">
        <v>53715603</v>
      </c>
      <c r="D76" s="1075" t="s">
        <v>2121</v>
      </c>
      <c r="E76" s="1075" t="s">
        <v>2122</v>
      </c>
      <c r="F76" s="1075">
        <v>812200</v>
      </c>
      <c r="G76" s="1075" t="s">
        <v>2107</v>
      </c>
      <c r="H76" s="1075">
        <v>90534</v>
      </c>
      <c r="I76" s="1075">
        <v>0</v>
      </c>
      <c r="J76" s="1075">
        <v>5</v>
      </c>
      <c r="K76" s="1075">
        <v>37</v>
      </c>
      <c r="L76" s="1075">
        <v>0</v>
      </c>
      <c r="M76" s="1075" t="s">
        <v>1868</v>
      </c>
      <c r="N76" s="1075" t="s">
        <v>3172</v>
      </c>
      <c r="O76" s="1077">
        <f>P76/100</f>
        <v>0.83</v>
      </c>
      <c r="P76" s="1075">
        <v>83</v>
      </c>
      <c r="Q76" s="1074">
        <v>7247.25</v>
      </c>
      <c r="R76" s="1074">
        <v>593.79999999999995</v>
      </c>
      <c r="S76" s="1074">
        <v>196.71</v>
      </c>
      <c r="T76" s="1074">
        <v>6006.29</v>
      </c>
      <c r="U76" s="1074">
        <v>0</v>
      </c>
      <c r="V76" s="1074">
        <v>0</v>
      </c>
      <c r="W76" s="1074">
        <v>0</v>
      </c>
      <c r="X76" s="1074">
        <v>0</v>
      </c>
      <c r="Y76" s="1074">
        <v>137.15</v>
      </c>
      <c r="Z76" s="1074">
        <v>0</v>
      </c>
      <c r="AA76" s="1074">
        <v>5869.14</v>
      </c>
      <c r="AB76" s="1074">
        <v>450.45</v>
      </c>
      <c r="AC76" s="1074">
        <v>0</v>
      </c>
      <c r="AD76" s="1074">
        <v>0</v>
      </c>
      <c r="AE76" s="1074">
        <v>1812200</v>
      </c>
      <c r="AF76" s="1074" t="s">
        <v>251</v>
      </c>
      <c r="AG76" s="1095">
        <f>VLOOKUP(B76,עזר!A$2:B$329,2,FALSE)</f>
        <v>72905.460000000006</v>
      </c>
      <c r="AH76" s="1074">
        <f t="shared" si="32"/>
        <v>21741.75</v>
      </c>
      <c r="AI76" s="1074">
        <f t="shared" si="33"/>
        <v>94647.21</v>
      </c>
      <c r="AJ76" s="1077">
        <f>VLOOKUP(B76,Sheet1!D$2:K$430,7,FALSE)</f>
        <v>0.83</v>
      </c>
      <c r="AK76" s="1074">
        <f>VLOOKUP(B76,Sheet1!D$2:L$430,8,FALSE)</f>
        <v>87434</v>
      </c>
      <c r="AL76" s="1109">
        <f>O76</f>
        <v>0.83</v>
      </c>
      <c r="AM76" s="1074">
        <f>AI76*1.02</f>
        <v>96540.154200000004</v>
      </c>
      <c r="AN76" s="1085">
        <f t="shared" si="34"/>
        <v>0.83</v>
      </c>
      <c r="AO76" s="1074">
        <f t="shared" si="35"/>
        <v>96540.154200000004</v>
      </c>
      <c r="AP76" s="1080"/>
    </row>
    <row r="77" spans="1:42" outlineLevel="2" x14ac:dyDescent="0.2">
      <c r="A77" s="1075">
        <v>506</v>
      </c>
      <c r="B77" s="1078">
        <v>5692004</v>
      </c>
      <c r="C77" s="1075">
        <v>56920044</v>
      </c>
      <c r="D77" s="1075" t="s">
        <v>1459</v>
      </c>
      <c r="E77" s="1075" t="s">
        <v>1440</v>
      </c>
      <c r="F77" s="1075">
        <v>812200</v>
      </c>
      <c r="G77" s="1075" t="s">
        <v>2107</v>
      </c>
      <c r="H77" s="1075">
        <v>90534</v>
      </c>
      <c r="I77" s="1075">
        <v>0</v>
      </c>
      <c r="J77" s="1075">
        <v>5</v>
      </c>
      <c r="K77" s="1075">
        <v>37</v>
      </c>
      <c r="L77" s="1075">
        <v>0</v>
      </c>
      <c r="M77" s="1075" t="s">
        <v>1868</v>
      </c>
      <c r="N77" s="1075" t="s">
        <v>3172</v>
      </c>
      <c r="O77" s="1077">
        <f>P77/100</f>
        <v>0.83</v>
      </c>
      <c r="P77" s="1075">
        <v>83</v>
      </c>
      <c r="Q77" s="1074">
        <v>7191.65</v>
      </c>
      <c r="R77" s="1074">
        <v>1249.8499999999999</v>
      </c>
      <c r="S77" s="1074">
        <v>186.27</v>
      </c>
      <c r="T77" s="1074">
        <v>5350.58</v>
      </c>
      <c r="U77" s="1074">
        <v>0</v>
      </c>
      <c r="V77" s="1074">
        <v>0</v>
      </c>
      <c r="W77" s="1074">
        <v>0</v>
      </c>
      <c r="X77" s="1074">
        <v>0</v>
      </c>
      <c r="Y77" s="1074">
        <v>40.35</v>
      </c>
      <c r="Z77" s="1074">
        <v>0</v>
      </c>
      <c r="AA77" s="1074">
        <v>5310.23</v>
      </c>
      <c r="AB77" s="1074">
        <v>404.95</v>
      </c>
      <c r="AC77" s="1074">
        <v>0</v>
      </c>
      <c r="AD77" s="1074">
        <v>0</v>
      </c>
      <c r="AE77" s="1074">
        <v>1812200</v>
      </c>
      <c r="AF77" s="1074" t="s">
        <v>251</v>
      </c>
      <c r="AG77" s="1095">
        <f>VLOOKUP(B77,עזר!A$2:B$329,2,FALSE)</f>
        <v>71843.100000000006</v>
      </c>
      <c r="AH77" s="1074">
        <f t="shared" si="32"/>
        <v>21574.949999999997</v>
      </c>
      <c r="AI77" s="1074">
        <f t="shared" si="33"/>
        <v>93418.05</v>
      </c>
      <c r="AJ77" s="1077">
        <f>VLOOKUP(B77,Sheet1!D$2:K$430,7,FALSE)</f>
        <v>0.83</v>
      </c>
      <c r="AK77" s="1074">
        <f>VLOOKUP(B77,Sheet1!D$2:L$430,8,FALSE)</f>
        <v>86043</v>
      </c>
      <c r="AL77" s="1109">
        <f>O77</f>
        <v>0.83</v>
      </c>
      <c r="AM77" s="1074">
        <f>AI77*1.02</f>
        <v>95286.411000000007</v>
      </c>
      <c r="AN77" s="1085">
        <f t="shared" si="34"/>
        <v>0.83</v>
      </c>
      <c r="AO77" s="1074">
        <f t="shared" si="35"/>
        <v>95286.411000000007</v>
      </c>
      <c r="AP77" s="1080"/>
    </row>
    <row r="78" spans="1:42" outlineLevel="2" x14ac:dyDescent="0.2">
      <c r="A78" s="1075">
        <v>506</v>
      </c>
      <c r="B78" s="1078">
        <v>5854289</v>
      </c>
      <c r="C78" s="1075">
        <v>58542895</v>
      </c>
      <c r="D78" s="1075" t="s">
        <v>1329</v>
      </c>
      <c r="E78" s="1075" t="s">
        <v>1110</v>
      </c>
      <c r="F78" s="1075">
        <v>812200</v>
      </c>
      <c r="G78" s="1075" t="s">
        <v>2107</v>
      </c>
      <c r="H78" s="1075">
        <v>90534</v>
      </c>
      <c r="I78" s="1075">
        <v>0</v>
      </c>
      <c r="J78" s="1075">
        <v>5</v>
      </c>
      <c r="K78" s="1075">
        <v>37</v>
      </c>
      <c r="L78" s="1075">
        <v>0</v>
      </c>
      <c r="M78" s="1075" t="s">
        <v>1868</v>
      </c>
      <c r="N78" s="1075" t="s">
        <v>3172</v>
      </c>
      <c r="O78" s="1077">
        <f>P78/100</f>
        <v>0.83</v>
      </c>
      <c r="P78" s="1075">
        <v>83</v>
      </c>
      <c r="Q78" s="1074">
        <v>6614.59</v>
      </c>
      <c r="R78" s="1074">
        <v>541.5</v>
      </c>
      <c r="S78" s="1074">
        <v>188.84</v>
      </c>
      <c r="T78" s="1074">
        <v>5473.7</v>
      </c>
      <c r="U78" s="1074">
        <v>0</v>
      </c>
      <c r="V78" s="1074">
        <v>0</v>
      </c>
      <c r="W78" s="1074">
        <v>0</v>
      </c>
      <c r="X78" s="1074">
        <v>0</v>
      </c>
      <c r="Y78" s="1074">
        <v>117.8</v>
      </c>
      <c r="Z78" s="1074">
        <v>0</v>
      </c>
      <c r="AA78" s="1074">
        <v>5355.9</v>
      </c>
      <c r="AB78" s="1074">
        <v>410.55</v>
      </c>
      <c r="AC78" s="1074">
        <v>0</v>
      </c>
      <c r="AD78" s="1074">
        <v>0</v>
      </c>
      <c r="AE78" s="1074">
        <v>1812200</v>
      </c>
      <c r="AF78" s="1074" t="s">
        <v>251</v>
      </c>
      <c r="AG78" s="1095">
        <f>VLOOKUP(B78,עזר!A$2:B$329,2,FALSE)</f>
        <v>71031.97</v>
      </c>
      <c r="AH78" s="1074">
        <f t="shared" si="32"/>
        <v>19843.77</v>
      </c>
      <c r="AI78" s="1074">
        <f t="shared" si="33"/>
        <v>90875.74</v>
      </c>
      <c r="AJ78" s="1077">
        <f>VLOOKUP(B78,Sheet1!D$2:K$430,7,FALSE)</f>
        <v>0.83</v>
      </c>
      <c r="AK78" s="1074">
        <f>VLOOKUP(B78,Sheet1!D$2:L$430,8,FALSE)</f>
        <v>90269</v>
      </c>
      <c r="AL78" s="1109">
        <f>O78</f>
        <v>0.83</v>
      </c>
      <c r="AM78" s="1074">
        <f>AI78*1.02</f>
        <v>92693.25480000001</v>
      </c>
      <c r="AN78" s="1085">
        <f t="shared" si="34"/>
        <v>0.83</v>
      </c>
      <c r="AO78" s="1074">
        <f t="shared" si="35"/>
        <v>92693.25480000001</v>
      </c>
      <c r="AP78" s="1080"/>
    </row>
    <row r="79" spans="1:42" outlineLevel="2" x14ac:dyDescent="0.2">
      <c r="A79" s="1075">
        <v>506</v>
      </c>
      <c r="B79" s="1078">
        <v>5931960</v>
      </c>
      <c r="C79" s="1075">
        <v>59319608</v>
      </c>
      <c r="D79" s="1075" t="s">
        <v>1374</v>
      </c>
      <c r="E79" s="1075" t="s">
        <v>2125</v>
      </c>
      <c r="F79" s="1075">
        <v>812200</v>
      </c>
      <c r="G79" s="1075" t="s">
        <v>2107</v>
      </c>
      <c r="H79" s="1075">
        <v>90534</v>
      </c>
      <c r="I79" s="1075">
        <v>1</v>
      </c>
      <c r="J79" s="1075">
        <v>0</v>
      </c>
      <c r="K79" s="1075">
        <v>0</v>
      </c>
      <c r="L79" s="1075">
        <v>0</v>
      </c>
      <c r="M79" s="1075" t="s">
        <v>1868</v>
      </c>
      <c r="N79" s="1075" t="s">
        <v>3172</v>
      </c>
      <c r="O79" s="1077">
        <f>P79/100</f>
        <v>0</v>
      </c>
      <c r="P79" s="1075">
        <v>0</v>
      </c>
      <c r="Q79" s="1074">
        <v>4268.87</v>
      </c>
      <c r="R79" s="1074">
        <v>0</v>
      </c>
      <c r="S79" s="1074">
        <v>266.66000000000003</v>
      </c>
      <c r="T79" s="1074">
        <v>3723</v>
      </c>
      <c r="U79" s="1074">
        <v>0</v>
      </c>
      <c r="V79" s="1074">
        <v>0</v>
      </c>
      <c r="W79" s="1074">
        <v>0</v>
      </c>
      <c r="X79" s="1074">
        <v>0</v>
      </c>
      <c r="Y79" s="1074">
        <v>0</v>
      </c>
      <c r="Z79" s="1074">
        <v>0</v>
      </c>
      <c r="AA79" s="1074">
        <v>3723</v>
      </c>
      <c r="AB79" s="1074">
        <v>279.20999999999998</v>
      </c>
      <c r="AC79" s="1074">
        <v>0</v>
      </c>
      <c r="AD79" s="1074">
        <v>0</v>
      </c>
      <c r="AE79" s="1074">
        <v>1812200</v>
      </c>
      <c r="AF79" s="1074" t="s">
        <v>251</v>
      </c>
      <c r="AG79" s="1095">
        <f>VLOOKUP(B79,עזר!A$2:B$329,2,FALSE)</f>
        <v>84553.32</v>
      </c>
      <c r="AH79" s="1074">
        <f t="shared" si="32"/>
        <v>12806.61</v>
      </c>
      <c r="AI79" s="1074">
        <f t="shared" si="33"/>
        <v>97359.930000000008</v>
      </c>
      <c r="AJ79" s="1077">
        <f>VLOOKUP(B79,Sheet1!D$2:K$430,7,FALSE)</f>
        <v>0.83</v>
      </c>
      <c r="AK79" s="1074">
        <f>VLOOKUP(B79,Sheet1!D$2:L$430,8,FALSE)</f>
        <v>102262</v>
      </c>
      <c r="AL79" s="1109">
        <f>O79</f>
        <v>0</v>
      </c>
      <c r="AM79" s="1074">
        <v>0</v>
      </c>
      <c r="AN79" s="1085">
        <f t="shared" si="34"/>
        <v>0</v>
      </c>
      <c r="AO79" s="1074">
        <f t="shared" si="35"/>
        <v>0</v>
      </c>
      <c r="AP79" s="1080"/>
    </row>
    <row r="80" spans="1:42" outlineLevel="2" x14ac:dyDescent="0.2">
      <c r="A80" s="1075">
        <v>506</v>
      </c>
      <c r="B80" s="1078">
        <v>99999</v>
      </c>
      <c r="C80" s="1075">
        <v>999999</v>
      </c>
      <c r="D80" s="1075" t="s">
        <v>1403</v>
      </c>
      <c r="E80" s="1075" t="s">
        <v>1509</v>
      </c>
      <c r="F80" s="1075">
        <v>812200</v>
      </c>
      <c r="M80" s="1075" t="s">
        <v>1868</v>
      </c>
      <c r="N80" s="1075" t="s">
        <v>3172</v>
      </c>
      <c r="O80" s="1077">
        <v>0</v>
      </c>
      <c r="Q80" s="1085">
        <v>0</v>
      </c>
      <c r="R80" s="1085"/>
      <c r="S80" s="1085"/>
      <c r="T80" s="1085"/>
      <c r="U80" s="1085"/>
      <c r="V80" s="1085"/>
      <c r="W80" s="1085"/>
      <c r="X80" s="1085"/>
      <c r="Y80" s="1085"/>
      <c r="Z80" s="1085"/>
      <c r="AA80" s="1085"/>
      <c r="AB80" s="1085"/>
      <c r="AC80" s="1085"/>
      <c r="AD80" s="1085"/>
      <c r="AE80" s="1085"/>
      <c r="AF80" s="1085"/>
      <c r="AG80" s="1096">
        <v>0</v>
      </c>
      <c r="AH80" s="1085">
        <f t="shared" si="32"/>
        <v>0</v>
      </c>
      <c r="AI80" s="1085">
        <v>0</v>
      </c>
      <c r="AJ80" s="1077">
        <v>3</v>
      </c>
      <c r="AK80" s="1074">
        <f>467000+102000-104000</f>
        <v>465000</v>
      </c>
      <c r="AL80" s="1109">
        <f>O80</f>
        <v>0</v>
      </c>
      <c r="AM80" s="1074">
        <f>AI80*1.02</f>
        <v>0</v>
      </c>
      <c r="AN80" s="1085">
        <f t="shared" si="34"/>
        <v>0</v>
      </c>
      <c r="AO80" s="1074">
        <f t="shared" si="35"/>
        <v>0</v>
      </c>
      <c r="AP80" s="1080"/>
    </row>
    <row r="81" spans="1:42" outlineLevel="1" x14ac:dyDescent="0.2">
      <c r="B81" s="1078"/>
      <c r="F81" s="1088" t="s">
        <v>3092</v>
      </c>
      <c r="O81" s="1077">
        <f>SUBTOTAL(9,O69:O80)</f>
        <v>6.732222222222223</v>
      </c>
      <c r="Q81" s="1085">
        <f>SUBTOTAL(9,Q69:Q80)</f>
        <v>59166.890000000007</v>
      </c>
      <c r="R81" s="1085"/>
      <c r="S81" s="1085"/>
      <c r="T81" s="1085"/>
      <c r="U81" s="1085"/>
      <c r="V81" s="1085"/>
      <c r="W81" s="1085"/>
      <c r="X81" s="1085"/>
      <c r="Y81" s="1085"/>
      <c r="Z81" s="1085"/>
      <c r="AA81" s="1085"/>
      <c r="AB81" s="1085"/>
      <c r="AC81" s="1085"/>
      <c r="AD81" s="1085"/>
      <c r="AE81" s="1085"/>
      <c r="AF81" s="1085"/>
      <c r="AG81" s="1096">
        <f t="shared" ref="AG81:AM81" si="36">SUBTOTAL(9,AG69:AG80)</f>
        <v>756240.22</v>
      </c>
      <c r="AH81" s="1085">
        <f t="shared" si="36"/>
        <v>177500.66999999998</v>
      </c>
      <c r="AI81" s="1085">
        <f t="shared" si="36"/>
        <v>933740.89000000013</v>
      </c>
      <c r="AJ81" s="1077">
        <f t="shared" si="36"/>
        <v>12.129999999999999</v>
      </c>
      <c r="AK81" s="1074">
        <f t="shared" si="36"/>
        <v>1454888</v>
      </c>
      <c r="AL81" s="1109">
        <f t="shared" si="36"/>
        <v>5.81</v>
      </c>
      <c r="AM81" s="1074">
        <f t="shared" si="36"/>
        <v>677811.47100000002</v>
      </c>
      <c r="AP81" s="1080">
        <f>SUBTOTAL(9,AP69:AP80)</f>
        <v>0</v>
      </c>
    </row>
    <row r="82" spans="1:42" outlineLevel="2" x14ac:dyDescent="0.2">
      <c r="A82" s="1075">
        <v>506</v>
      </c>
      <c r="B82" s="1075">
        <v>2656603</v>
      </c>
      <c r="C82" s="1075">
        <v>26566034</v>
      </c>
      <c r="D82" s="1075" t="s">
        <v>2387</v>
      </c>
      <c r="E82" s="1075" t="s">
        <v>1795</v>
      </c>
      <c r="F82" s="1075">
        <v>812201</v>
      </c>
      <c r="G82" s="1075" t="s">
        <v>2384</v>
      </c>
      <c r="H82" s="1075">
        <v>90534</v>
      </c>
      <c r="I82" s="1075">
        <v>1</v>
      </c>
      <c r="J82" s="1075">
        <v>0</v>
      </c>
      <c r="K82" s="1075">
        <v>0</v>
      </c>
      <c r="L82" s="1075">
        <v>0</v>
      </c>
      <c r="M82" s="1075" t="s">
        <v>1868</v>
      </c>
      <c r="N82" s="1075" t="s">
        <v>1471</v>
      </c>
      <c r="O82" s="1077">
        <v>0</v>
      </c>
      <c r="Q82" s="1074">
        <v>0</v>
      </c>
      <c r="R82" s="1074"/>
      <c r="S82" s="1074"/>
      <c r="T82" s="1074"/>
      <c r="U82" s="1074"/>
      <c r="V82" s="1074"/>
      <c r="W82" s="1074"/>
      <c r="X82" s="1074"/>
      <c r="Y82" s="1074"/>
      <c r="Z82" s="1074"/>
      <c r="AA82" s="1074"/>
      <c r="AB82" s="1074"/>
      <c r="AC82" s="1074"/>
      <c r="AD82" s="1074"/>
      <c r="AE82" s="1074"/>
      <c r="AF82" s="1074"/>
      <c r="AG82" s="1095">
        <f>VLOOKUP(B82,עזר!A$2:B$329,2,FALSE)</f>
        <v>14160.16</v>
      </c>
      <c r="AH82" s="1074">
        <f t="shared" ref="AH82:AH94" si="37">Q82*3</f>
        <v>0</v>
      </c>
      <c r="AI82" s="1074">
        <f t="shared" ref="AI82:AI92" si="38">AH82+AG82</f>
        <v>14160.16</v>
      </c>
      <c r="AJ82" s="1077">
        <f>VLOOKUP(B82,Sheet1!D$2:K$430,7,FALSE)</f>
        <v>0.22</v>
      </c>
      <c r="AK82" s="1074">
        <f>VLOOKUP(B82,Sheet1!D$2:L$430,8,FALSE)</f>
        <v>30000</v>
      </c>
      <c r="AL82" s="1109">
        <f t="shared" ref="AL82:AL94" si="39">O82</f>
        <v>0</v>
      </c>
      <c r="AM82" s="1074">
        <v>0</v>
      </c>
      <c r="AN82" s="1085">
        <f t="shared" ref="AN82:AN94" si="40">AL82</f>
        <v>0</v>
      </c>
      <c r="AO82" s="1074">
        <f t="shared" ref="AO82:AO94" si="41">AM82</f>
        <v>0</v>
      </c>
      <c r="AP82" s="1080"/>
    </row>
    <row r="83" spans="1:42" outlineLevel="2" x14ac:dyDescent="0.2">
      <c r="A83" s="1075">
        <v>506</v>
      </c>
      <c r="B83" s="1078">
        <v>2750519</v>
      </c>
      <c r="C83" s="1075">
        <v>27505197</v>
      </c>
      <c r="D83" s="1075" t="s">
        <v>2121</v>
      </c>
      <c r="E83" s="1075" t="s">
        <v>2126</v>
      </c>
      <c r="F83" s="1075">
        <v>812201</v>
      </c>
      <c r="G83" s="1075" t="s">
        <v>2107</v>
      </c>
      <c r="H83" s="1075">
        <v>90534</v>
      </c>
      <c r="I83" s="1075">
        <v>1</v>
      </c>
      <c r="J83" s="1075">
        <v>0</v>
      </c>
      <c r="K83" s="1075">
        <v>0</v>
      </c>
      <c r="L83" s="1075">
        <v>0</v>
      </c>
      <c r="M83" s="1075" t="s">
        <v>1868</v>
      </c>
      <c r="N83" s="1075" t="s">
        <v>1471</v>
      </c>
      <c r="O83" s="1077">
        <f>P83/100</f>
        <v>0</v>
      </c>
      <c r="P83" s="1075">
        <v>0</v>
      </c>
      <c r="Q83" s="1074">
        <v>744.18</v>
      </c>
      <c r="R83" s="1074">
        <v>72.55</v>
      </c>
      <c r="S83" s="1074">
        <v>20.88</v>
      </c>
      <c r="T83" s="1074">
        <v>605.35</v>
      </c>
      <c r="U83" s="1074">
        <v>0</v>
      </c>
      <c r="V83" s="1074">
        <v>0</v>
      </c>
      <c r="W83" s="1074">
        <v>0</v>
      </c>
      <c r="X83" s="1074">
        <v>0</v>
      </c>
      <c r="Y83" s="1074">
        <v>67.75</v>
      </c>
      <c r="Z83" s="1074">
        <v>0</v>
      </c>
      <c r="AA83" s="1074">
        <v>537.6</v>
      </c>
      <c r="AB83" s="1074">
        <v>45.4</v>
      </c>
      <c r="AC83" s="1074">
        <v>0</v>
      </c>
      <c r="AD83" s="1074">
        <v>0</v>
      </c>
      <c r="AE83" s="1074">
        <v>1812201</v>
      </c>
      <c r="AF83" s="1074" t="s">
        <v>251</v>
      </c>
      <c r="AG83" s="1095">
        <f>VLOOKUP(B83,עזר!A$2:B$329,2,FALSE)</f>
        <v>20277.72</v>
      </c>
      <c r="AH83" s="1074">
        <f t="shared" si="37"/>
        <v>2232.54</v>
      </c>
      <c r="AI83" s="1074">
        <f t="shared" si="38"/>
        <v>22510.260000000002</v>
      </c>
      <c r="AJ83" s="1077">
        <f>VLOOKUP(B83,Sheet1!D$2:K$430,7,FALSE)</f>
        <v>0.42352941176470588</v>
      </c>
      <c r="AK83" s="1074">
        <f>VLOOKUP(B83,Sheet1!D$2:L$430,8,FALSE)</f>
        <v>32000</v>
      </c>
      <c r="AL83" s="1109">
        <f t="shared" si="39"/>
        <v>0</v>
      </c>
      <c r="AM83" s="1074">
        <f>AI83*1.02</f>
        <v>22960.465200000002</v>
      </c>
      <c r="AN83" s="1085">
        <f t="shared" si="40"/>
        <v>0</v>
      </c>
      <c r="AO83" s="1074">
        <f t="shared" si="41"/>
        <v>22960.465200000002</v>
      </c>
      <c r="AP83" s="1080"/>
    </row>
    <row r="84" spans="1:42" outlineLevel="2" x14ac:dyDescent="0.2">
      <c r="A84" s="1075">
        <v>506</v>
      </c>
      <c r="B84" s="1078">
        <v>3360162</v>
      </c>
      <c r="C84" s="1075">
        <v>33601626</v>
      </c>
      <c r="D84" s="1075" t="s">
        <v>2127</v>
      </c>
      <c r="E84" s="1075" t="s">
        <v>2128</v>
      </c>
      <c r="F84" s="1075">
        <v>812201</v>
      </c>
      <c r="G84" s="1075" t="s">
        <v>2107</v>
      </c>
      <c r="H84" s="1075">
        <v>90534</v>
      </c>
      <c r="I84" s="1075">
        <v>1</v>
      </c>
      <c r="J84" s="1075">
        <v>0</v>
      </c>
      <c r="K84" s="1075">
        <v>0</v>
      </c>
      <c r="L84" s="1075">
        <v>0</v>
      </c>
      <c r="M84" s="1075" t="s">
        <v>1868</v>
      </c>
      <c r="N84" s="1075" t="s">
        <v>1471</v>
      </c>
      <c r="O84" s="1077">
        <f>P84/100</f>
        <v>0</v>
      </c>
      <c r="P84" s="1075">
        <v>0</v>
      </c>
      <c r="Q84" s="1074">
        <v>1363.09</v>
      </c>
      <c r="R84" s="1074">
        <v>139.69999999999999</v>
      </c>
      <c r="S84" s="1074">
        <v>38.04</v>
      </c>
      <c r="T84" s="1074">
        <v>1102.6500000000001</v>
      </c>
      <c r="U84" s="1074">
        <v>0</v>
      </c>
      <c r="V84" s="1074">
        <v>0</v>
      </c>
      <c r="W84" s="1074">
        <v>0</v>
      </c>
      <c r="X84" s="1074">
        <v>0</v>
      </c>
      <c r="Y84" s="1074">
        <v>67.75</v>
      </c>
      <c r="Z84" s="1074">
        <v>0</v>
      </c>
      <c r="AA84" s="1074">
        <v>1034.9000000000001</v>
      </c>
      <c r="AB84" s="1074">
        <v>82.7</v>
      </c>
      <c r="AC84" s="1074">
        <v>0</v>
      </c>
      <c r="AD84" s="1074">
        <v>0</v>
      </c>
      <c r="AE84" s="1074">
        <v>1812201</v>
      </c>
      <c r="AF84" s="1074" t="s">
        <v>251</v>
      </c>
      <c r="AG84" s="1095">
        <f>VLOOKUP(B84,עזר!A$2:B$329,2,FALSE)</f>
        <v>23523.75</v>
      </c>
      <c r="AH84" s="1074">
        <f t="shared" si="37"/>
        <v>4089.2699999999995</v>
      </c>
      <c r="AI84" s="1074">
        <f t="shared" si="38"/>
        <v>27613.02</v>
      </c>
      <c r="AJ84" s="1077">
        <f>VLOOKUP(B84,Sheet1!D$2:K$430,7,FALSE)</f>
        <v>0.42352941176470588</v>
      </c>
      <c r="AK84" s="1074">
        <f>VLOOKUP(B84,Sheet1!D$2:L$430,8,FALSE)</f>
        <v>40000</v>
      </c>
      <c r="AL84" s="1109">
        <f t="shared" si="39"/>
        <v>0</v>
      </c>
      <c r="AM84" s="1074">
        <f>AI84*1.02</f>
        <v>28165.2804</v>
      </c>
      <c r="AN84" s="1085">
        <f t="shared" si="40"/>
        <v>0</v>
      </c>
      <c r="AO84" s="1074">
        <f t="shared" si="41"/>
        <v>28165.2804</v>
      </c>
      <c r="AP84" s="1080"/>
    </row>
    <row r="85" spans="1:42" outlineLevel="2" x14ac:dyDescent="0.2">
      <c r="A85" s="1075">
        <v>506</v>
      </c>
      <c r="B85" s="1078">
        <v>3472828</v>
      </c>
      <c r="C85" s="1075">
        <v>34728287</v>
      </c>
      <c r="D85" s="1075" t="s">
        <v>2129</v>
      </c>
      <c r="E85" s="1075" t="s">
        <v>2130</v>
      </c>
      <c r="F85" s="1075">
        <v>812201</v>
      </c>
      <c r="G85" s="1075" t="s">
        <v>2107</v>
      </c>
      <c r="H85" s="1075">
        <v>90534</v>
      </c>
      <c r="I85" s="1075">
        <v>1</v>
      </c>
      <c r="J85" s="1075">
        <v>0</v>
      </c>
      <c r="K85" s="1075">
        <v>0</v>
      </c>
      <c r="L85" s="1075">
        <v>0</v>
      </c>
      <c r="M85" s="1075" t="s">
        <v>1868</v>
      </c>
      <c r="N85" s="1075" t="s">
        <v>1471</v>
      </c>
      <c r="O85" s="1077">
        <f>P85/100</f>
        <v>0</v>
      </c>
      <c r="P85" s="1075">
        <v>0</v>
      </c>
      <c r="Q85" s="1074">
        <v>979.6</v>
      </c>
      <c r="R85" s="1074">
        <v>101.6</v>
      </c>
      <c r="S85" s="1074">
        <v>27.3</v>
      </c>
      <c r="T85" s="1074">
        <v>791.35</v>
      </c>
      <c r="U85" s="1074">
        <v>0</v>
      </c>
      <c r="V85" s="1074">
        <v>0</v>
      </c>
      <c r="W85" s="1074">
        <v>0</v>
      </c>
      <c r="X85" s="1074">
        <v>0</v>
      </c>
      <c r="Y85" s="1074">
        <v>38.700000000000003</v>
      </c>
      <c r="Z85" s="1074">
        <v>0</v>
      </c>
      <c r="AA85" s="1074">
        <v>752.65</v>
      </c>
      <c r="AB85" s="1074">
        <v>59.35</v>
      </c>
      <c r="AC85" s="1074">
        <v>0</v>
      </c>
      <c r="AD85" s="1074">
        <v>0</v>
      </c>
      <c r="AE85" s="1074">
        <v>1812201</v>
      </c>
      <c r="AF85" s="1074" t="s">
        <v>251</v>
      </c>
      <c r="AG85" s="1095">
        <f>VLOOKUP(B85,עזר!A$2:B$329,2,FALSE)</f>
        <v>22734.52</v>
      </c>
      <c r="AH85" s="1074">
        <f t="shared" si="37"/>
        <v>2938.8</v>
      </c>
      <c r="AI85" s="1074">
        <f t="shared" si="38"/>
        <v>25673.32</v>
      </c>
      <c r="AJ85" s="1077">
        <f>VLOOKUP(B85,Sheet1!D$2:K$430,7,FALSE)</f>
        <v>0.47058823529411764</v>
      </c>
      <c r="AK85" s="1074">
        <f>VLOOKUP(B85,Sheet1!D$2:L$430,8,FALSE)</f>
        <v>40000</v>
      </c>
      <c r="AL85" s="1109">
        <f t="shared" si="39"/>
        <v>0</v>
      </c>
      <c r="AM85" s="1074">
        <f>AI85*1.02</f>
        <v>26186.786400000001</v>
      </c>
      <c r="AN85" s="1085">
        <f t="shared" si="40"/>
        <v>0</v>
      </c>
      <c r="AO85" s="1074">
        <f t="shared" si="41"/>
        <v>26186.786400000001</v>
      </c>
      <c r="AP85" s="1080"/>
    </row>
    <row r="86" spans="1:42" outlineLevel="2" x14ac:dyDescent="0.2">
      <c r="A86" s="1075">
        <v>506</v>
      </c>
      <c r="B86" s="1075">
        <v>3570237</v>
      </c>
      <c r="C86" s="1075">
        <v>35702372</v>
      </c>
      <c r="D86" s="1075" t="s">
        <v>2388</v>
      </c>
      <c r="E86" s="1075" t="s">
        <v>2389</v>
      </c>
      <c r="F86" s="1075">
        <v>812201</v>
      </c>
      <c r="G86" s="1075" t="s">
        <v>2384</v>
      </c>
      <c r="H86" s="1075">
        <v>90534</v>
      </c>
      <c r="I86" s="1075">
        <v>1</v>
      </c>
      <c r="J86" s="1075">
        <v>0</v>
      </c>
      <c r="K86" s="1075">
        <v>0</v>
      </c>
      <c r="L86" s="1075">
        <v>0</v>
      </c>
      <c r="M86" s="1075" t="s">
        <v>1868</v>
      </c>
      <c r="N86" s="1075" t="s">
        <v>1471</v>
      </c>
      <c r="O86" s="1077">
        <v>0</v>
      </c>
      <c r="Q86" s="1074">
        <v>0</v>
      </c>
      <c r="R86" s="1074"/>
      <c r="S86" s="1074"/>
      <c r="T86" s="1074"/>
      <c r="U86" s="1074"/>
      <c r="V86" s="1074"/>
      <c r="W86" s="1074"/>
      <c r="X86" s="1074"/>
      <c r="Y86" s="1074"/>
      <c r="Z86" s="1074"/>
      <c r="AA86" s="1074"/>
      <c r="AB86" s="1074"/>
      <c r="AC86" s="1074"/>
      <c r="AD86" s="1074"/>
      <c r="AE86" s="1074"/>
      <c r="AF86" s="1074"/>
      <c r="AG86" s="1095">
        <f>VLOOKUP(B86,עזר!A$2:B$329,2,FALSE)</f>
        <v>9820.57</v>
      </c>
      <c r="AH86" s="1074">
        <f t="shared" si="37"/>
        <v>0</v>
      </c>
      <c r="AI86" s="1074">
        <f t="shared" si="38"/>
        <v>9820.57</v>
      </c>
      <c r="AJ86" s="1077">
        <f>VLOOKUP(B86,Sheet1!D$2:K$430,7,FALSE)</f>
        <v>0.2</v>
      </c>
      <c r="AK86" s="1074">
        <f>VLOOKUP(B86,Sheet1!D$2:L$430,8,FALSE)</f>
        <v>18000</v>
      </c>
      <c r="AL86" s="1109">
        <f t="shared" si="39"/>
        <v>0</v>
      </c>
      <c r="AM86" s="1074">
        <v>0</v>
      </c>
      <c r="AN86" s="1085">
        <f t="shared" si="40"/>
        <v>0</v>
      </c>
      <c r="AO86" s="1074">
        <f t="shared" si="41"/>
        <v>0</v>
      </c>
      <c r="AP86" s="1080"/>
    </row>
    <row r="87" spans="1:42" outlineLevel="2" x14ac:dyDescent="0.2">
      <c r="A87" s="1075">
        <v>506</v>
      </c>
      <c r="B87" s="1078">
        <v>3590738</v>
      </c>
      <c r="C87" s="1075">
        <v>35907385</v>
      </c>
      <c r="D87" s="1075" t="s">
        <v>2131</v>
      </c>
      <c r="E87" s="1075" t="s">
        <v>2132</v>
      </c>
      <c r="F87" s="1075">
        <v>812201</v>
      </c>
      <c r="G87" s="1075" t="s">
        <v>2107</v>
      </c>
      <c r="H87" s="1075">
        <v>90534</v>
      </c>
      <c r="I87" s="1075">
        <v>1</v>
      </c>
      <c r="J87" s="1075">
        <v>0</v>
      </c>
      <c r="K87" s="1075">
        <v>0</v>
      </c>
      <c r="L87" s="1075">
        <v>0</v>
      </c>
      <c r="M87" s="1075" t="s">
        <v>1868</v>
      </c>
      <c r="N87" s="1075" t="s">
        <v>1471</v>
      </c>
      <c r="O87" s="1077">
        <f>P87/100</f>
        <v>0</v>
      </c>
      <c r="P87" s="1075">
        <v>0</v>
      </c>
      <c r="Q87" s="1074">
        <v>982.27</v>
      </c>
      <c r="R87" s="1074">
        <v>139.99</v>
      </c>
      <c r="S87" s="1074">
        <v>26.2</v>
      </c>
      <c r="T87" s="1074">
        <v>759.15</v>
      </c>
      <c r="U87" s="1074">
        <v>0</v>
      </c>
      <c r="V87" s="1074">
        <v>0</v>
      </c>
      <c r="W87" s="1074">
        <v>0</v>
      </c>
      <c r="X87" s="1074">
        <v>0</v>
      </c>
      <c r="Y87" s="1074">
        <v>87.15</v>
      </c>
      <c r="Z87" s="1074">
        <v>0</v>
      </c>
      <c r="AA87" s="1074">
        <v>672</v>
      </c>
      <c r="AB87" s="1074">
        <v>56.93</v>
      </c>
      <c r="AC87" s="1074">
        <v>0</v>
      </c>
      <c r="AD87" s="1074">
        <v>0</v>
      </c>
      <c r="AE87" s="1074">
        <v>1812201</v>
      </c>
      <c r="AF87" s="1074" t="s">
        <v>251</v>
      </c>
      <c r="AG87" s="1095">
        <f>VLOOKUP(B87,עזר!A$2:B$329,2,FALSE)</f>
        <v>48757.919999999998</v>
      </c>
      <c r="AH87" s="1074">
        <f t="shared" si="37"/>
        <v>2946.81</v>
      </c>
      <c r="AI87" s="1074">
        <f t="shared" si="38"/>
        <v>51704.729999999996</v>
      </c>
      <c r="AJ87" s="1077">
        <f>VLOOKUP(B87,Sheet1!D$2:K$430,7,FALSE)</f>
        <v>0.94117647058823528</v>
      </c>
      <c r="AK87" s="1074">
        <f>VLOOKUP(B87,Sheet1!D$2:L$430,8,FALSE)</f>
        <v>65382</v>
      </c>
      <c r="AL87" s="1109">
        <f t="shared" si="39"/>
        <v>0</v>
      </c>
      <c r="AM87" s="1074">
        <v>0</v>
      </c>
      <c r="AN87" s="1085">
        <f t="shared" si="40"/>
        <v>0</v>
      </c>
      <c r="AO87" s="1074">
        <f t="shared" si="41"/>
        <v>0</v>
      </c>
      <c r="AP87" s="1080"/>
    </row>
    <row r="88" spans="1:42" outlineLevel="2" x14ac:dyDescent="0.2">
      <c r="A88" s="1075">
        <v>506</v>
      </c>
      <c r="B88" s="1078">
        <v>20440824</v>
      </c>
      <c r="C88" s="1075">
        <v>204408249</v>
      </c>
      <c r="D88" s="1075" t="s">
        <v>2114</v>
      </c>
      <c r="E88" s="1075" t="s">
        <v>2133</v>
      </c>
      <c r="F88" s="1075">
        <v>812201</v>
      </c>
      <c r="G88" s="1075" t="s">
        <v>2107</v>
      </c>
      <c r="H88" s="1075">
        <v>90534</v>
      </c>
      <c r="I88" s="1075">
        <v>1</v>
      </c>
      <c r="J88" s="1075">
        <v>0</v>
      </c>
      <c r="K88" s="1075">
        <v>0</v>
      </c>
      <c r="L88" s="1075">
        <v>0</v>
      </c>
      <c r="M88" s="1075" t="s">
        <v>1868</v>
      </c>
      <c r="N88" s="1075" t="s">
        <v>1471</v>
      </c>
      <c r="O88" s="1077">
        <f>P88/100</f>
        <v>0</v>
      </c>
      <c r="P88" s="1075">
        <v>0</v>
      </c>
      <c r="Q88" s="1074">
        <v>1045.23</v>
      </c>
      <c r="R88" s="1074">
        <v>105.2</v>
      </c>
      <c r="S88" s="1074">
        <v>29.23</v>
      </c>
      <c r="T88" s="1074">
        <v>847.25</v>
      </c>
      <c r="U88" s="1074">
        <v>0</v>
      </c>
      <c r="V88" s="1074">
        <v>0</v>
      </c>
      <c r="W88" s="1074">
        <v>0</v>
      </c>
      <c r="X88" s="1074">
        <v>0</v>
      </c>
      <c r="Y88" s="1074">
        <v>67.75</v>
      </c>
      <c r="Z88" s="1074">
        <v>0</v>
      </c>
      <c r="AA88" s="1074">
        <v>779.5</v>
      </c>
      <c r="AB88" s="1074">
        <v>63.55</v>
      </c>
      <c r="AC88" s="1074">
        <v>0</v>
      </c>
      <c r="AD88" s="1074">
        <v>0</v>
      </c>
      <c r="AE88" s="1074">
        <v>1812201</v>
      </c>
      <c r="AF88" s="1074" t="s">
        <v>251</v>
      </c>
      <c r="AG88" s="1095">
        <f>VLOOKUP(B88,עזר!A$2:B$329,2,FALSE)</f>
        <v>31915.119999999999</v>
      </c>
      <c r="AH88" s="1074">
        <f t="shared" si="37"/>
        <v>3135.69</v>
      </c>
      <c r="AI88" s="1074">
        <f t="shared" si="38"/>
        <v>35050.81</v>
      </c>
      <c r="AJ88" s="1077">
        <f>VLOOKUP(B88,Sheet1!D$2:K$430,7,FALSE)</f>
        <v>0</v>
      </c>
      <c r="AK88" s="1074">
        <f>VLOOKUP(B88,Sheet1!D$2:L$430,8,FALSE)</f>
        <v>0</v>
      </c>
      <c r="AL88" s="1109">
        <f t="shared" si="39"/>
        <v>0</v>
      </c>
      <c r="AM88" s="1074">
        <f>AI88*1.02</f>
        <v>35751.826199999996</v>
      </c>
      <c r="AN88" s="1085">
        <f t="shared" si="40"/>
        <v>0</v>
      </c>
      <c r="AO88" s="1074">
        <f t="shared" si="41"/>
        <v>35751.826199999996</v>
      </c>
      <c r="AP88" s="1080"/>
    </row>
    <row r="89" spans="1:42" outlineLevel="2" x14ac:dyDescent="0.2">
      <c r="A89" s="1075">
        <v>506</v>
      </c>
      <c r="B89" s="1078">
        <v>30017481</v>
      </c>
      <c r="C89" s="1075">
        <v>300174810</v>
      </c>
      <c r="D89" s="1075" t="s">
        <v>1451</v>
      </c>
      <c r="E89" s="1075" t="s">
        <v>2136</v>
      </c>
      <c r="F89" s="1075">
        <v>812201</v>
      </c>
      <c r="G89" s="1075" t="s">
        <v>2107</v>
      </c>
      <c r="H89" s="1075">
        <v>90534</v>
      </c>
      <c r="I89" s="1075">
        <v>1</v>
      </c>
      <c r="J89" s="1075">
        <v>0</v>
      </c>
      <c r="K89" s="1075">
        <v>0</v>
      </c>
      <c r="L89" s="1075">
        <v>0</v>
      </c>
      <c r="M89" s="1075" t="s">
        <v>1868</v>
      </c>
      <c r="N89" s="1075" t="s">
        <v>1471</v>
      </c>
      <c r="O89" s="1077">
        <f>P89/100</f>
        <v>0</v>
      </c>
      <c r="P89" s="1075">
        <v>0</v>
      </c>
      <c r="Q89" s="1074">
        <v>1402.55</v>
      </c>
      <c r="R89" s="1074">
        <v>145.15</v>
      </c>
      <c r="S89" s="1074">
        <v>39.1</v>
      </c>
      <c r="T89" s="1074">
        <v>1133.3</v>
      </c>
      <c r="U89" s="1074">
        <v>0</v>
      </c>
      <c r="V89" s="1074">
        <v>0</v>
      </c>
      <c r="W89" s="1074">
        <v>0</v>
      </c>
      <c r="X89" s="1074">
        <v>0</v>
      </c>
      <c r="Y89" s="1074">
        <v>58.1</v>
      </c>
      <c r="Z89" s="1074">
        <v>0</v>
      </c>
      <c r="AA89" s="1074">
        <v>1075.2</v>
      </c>
      <c r="AB89" s="1074">
        <v>85</v>
      </c>
      <c r="AC89" s="1074">
        <v>0</v>
      </c>
      <c r="AD89" s="1074">
        <v>0</v>
      </c>
      <c r="AE89" s="1074">
        <v>1812201</v>
      </c>
      <c r="AF89" s="1074" t="s">
        <v>251</v>
      </c>
      <c r="AG89" s="1095">
        <f>VLOOKUP(B89,עזר!A$2:B$329,2,FALSE)</f>
        <v>23075.57</v>
      </c>
      <c r="AH89" s="1074">
        <f t="shared" si="37"/>
        <v>4207.6499999999996</v>
      </c>
      <c r="AI89" s="1074">
        <f t="shared" si="38"/>
        <v>27283.22</v>
      </c>
      <c r="AJ89" s="1077">
        <f>VLOOKUP(B89,Sheet1!D$2:K$430,7,FALSE)</f>
        <v>0.47058823529411764</v>
      </c>
      <c r="AK89" s="1074">
        <f>VLOOKUP(B89,Sheet1!D$2:L$430,8,FALSE)</f>
        <v>35000</v>
      </c>
      <c r="AL89" s="1109">
        <f t="shared" si="39"/>
        <v>0</v>
      </c>
      <c r="AM89" s="1074">
        <f>AI89*1.02</f>
        <v>27828.884400000003</v>
      </c>
      <c r="AN89" s="1085">
        <f t="shared" si="40"/>
        <v>0</v>
      </c>
      <c r="AO89" s="1074">
        <f t="shared" si="41"/>
        <v>27828.884400000003</v>
      </c>
      <c r="AP89" s="1080"/>
    </row>
    <row r="90" spans="1:42" outlineLevel="2" x14ac:dyDescent="0.2">
      <c r="A90" s="1075">
        <v>506</v>
      </c>
      <c r="B90" s="1075">
        <v>30092629</v>
      </c>
      <c r="C90" s="1075">
        <v>300926292</v>
      </c>
      <c r="D90" s="1075" t="s">
        <v>2170</v>
      </c>
      <c r="E90" s="1075" t="s">
        <v>2390</v>
      </c>
      <c r="F90" s="1075">
        <v>812201</v>
      </c>
      <c r="G90" s="1075" t="s">
        <v>2384</v>
      </c>
      <c r="H90" s="1075">
        <v>90534</v>
      </c>
      <c r="I90" s="1075">
        <v>1</v>
      </c>
      <c r="J90" s="1075">
        <v>0</v>
      </c>
      <c r="K90" s="1075">
        <v>0</v>
      </c>
      <c r="L90" s="1075">
        <v>0</v>
      </c>
      <c r="M90" s="1075" t="s">
        <v>1868</v>
      </c>
      <c r="N90" s="1075" t="s">
        <v>1471</v>
      </c>
      <c r="O90" s="1077">
        <v>0</v>
      </c>
      <c r="Q90" s="1074">
        <v>0</v>
      </c>
      <c r="R90" s="1074"/>
      <c r="S90" s="1074"/>
      <c r="T90" s="1074"/>
      <c r="U90" s="1074"/>
      <c r="V90" s="1074"/>
      <c r="W90" s="1074"/>
      <c r="X90" s="1074"/>
      <c r="Y90" s="1074"/>
      <c r="Z90" s="1074"/>
      <c r="AA90" s="1074"/>
      <c r="AB90" s="1074"/>
      <c r="AC90" s="1074"/>
      <c r="AD90" s="1074"/>
      <c r="AE90" s="1074"/>
      <c r="AF90" s="1074"/>
      <c r="AG90" s="1095">
        <f>VLOOKUP(B90,עזר!A$2:B$329,2,FALSE)</f>
        <v>2004.85</v>
      </c>
      <c r="AH90" s="1074">
        <f t="shared" si="37"/>
        <v>0</v>
      </c>
      <c r="AI90" s="1074">
        <f t="shared" si="38"/>
        <v>2004.85</v>
      </c>
      <c r="AJ90" s="1077">
        <f>VLOOKUP(B90,Sheet1!D$2:K$430,7,FALSE)</f>
        <v>0.22</v>
      </c>
      <c r="AK90" s="1074">
        <f>VLOOKUP(B90,Sheet1!D$2:L$430,8,FALSE)</f>
        <v>2004</v>
      </c>
      <c r="AL90" s="1109">
        <f t="shared" si="39"/>
        <v>0</v>
      </c>
      <c r="AM90" s="1074">
        <v>0</v>
      </c>
      <c r="AN90" s="1085">
        <f t="shared" si="40"/>
        <v>0</v>
      </c>
      <c r="AO90" s="1074">
        <f t="shared" si="41"/>
        <v>0</v>
      </c>
      <c r="AP90" s="1080"/>
    </row>
    <row r="91" spans="1:42" outlineLevel="2" x14ac:dyDescent="0.2">
      <c r="A91" s="1075">
        <v>506</v>
      </c>
      <c r="B91" s="1075">
        <v>30172477</v>
      </c>
      <c r="C91" s="1075">
        <v>301724779</v>
      </c>
      <c r="D91" s="1075" t="s">
        <v>1531</v>
      </c>
      <c r="E91" s="1075" t="s">
        <v>2391</v>
      </c>
      <c r="F91" s="1075">
        <v>812201</v>
      </c>
      <c r="G91" s="1075" t="s">
        <v>2384</v>
      </c>
      <c r="H91" s="1075">
        <v>90534</v>
      </c>
      <c r="I91" s="1075">
        <v>1</v>
      </c>
      <c r="J91" s="1075">
        <v>0</v>
      </c>
      <c r="K91" s="1075">
        <v>0</v>
      </c>
      <c r="L91" s="1075">
        <v>0</v>
      </c>
      <c r="M91" s="1075" t="s">
        <v>1868</v>
      </c>
      <c r="N91" s="1075" t="s">
        <v>1471</v>
      </c>
      <c r="O91" s="1077">
        <v>0</v>
      </c>
      <c r="Q91" s="1074">
        <v>0</v>
      </c>
      <c r="R91" s="1074"/>
      <c r="S91" s="1074"/>
      <c r="T91" s="1074"/>
      <c r="U91" s="1074"/>
      <c r="V91" s="1074"/>
      <c r="W91" s="1074"/>
      <c r="X91" s="1074"/>
      <c r="Y91" s="1074"/>
      <c r="Z91" s="1074"/>
      <c r="AA91" s="1074"/>
      <c r="AB91" s="1074"/>
      <c r="AC91" s="1074"/>
      <c r="AD91" s="1074"/>
      <c r="AE91" s="1074"/>
      <c r="AF91" s="1074"/>
      <c r="AG91" s="1095">
        <f>VLOOKUP(B91,עזר!A$2:B$329,2,FALSE)</f>
        <v>7610.67</v>
      </c>
      <c r="AH91" s="1074">
        <f t="shared" si="37"/>
        <v>0</v>
      </c>
      <c r="AI91" s="1074">
        <f t="shared" si="38"/>
        <v>7610.67</v>
      </c>
      <c r="AJ91" s="1077">
        <f>VLOOKUP(B91,Sheet1!D$2:K$430,7,FALSE)</f>
        <v>0.37647058823529411</v>
      </c>
      <c r="AK91" s="1074">
        <f>VLOOKUP(B91,Sheet1!D$2:L$430,8,FALSE)</f>
        <v>30000</v>
      </c>
      <c r="AL91" s="1109">
        <f t="shared" si="39"/>
        <v>0</v>
      </c>
      <c r="AM91" s="1074">
        <v>0</v>
      </c>
      <c r="AN91" s="1085">
        <f t="shared" si="40"/>
        <v>0</v>
      </c>
      <c r="AO91" s="1074">
        <f t="shared" si="41"/>
        <v>0</v>
      </c>
      <c r="AP91" s="1080"/>
    </row>
    <row r="92" spans="1:42" outlineLevel="2" x14ac:dyDescent="0.2">
      <c r="A92" s="1075">
        <v>506</v>
      </c>
      <c r="B92" s="1075">
        <v>30802134</v>
      </c>
      <c r="C92" s="1075">
        <v>308021344</v>
      </c>
      <c r="D92" s="1075" t="s">
        <v>2123</v>
      </c>
      <c r="E92" s="1075" t="s">
        <v>2120</v>
      </c>
      <c r="F92" s="1075">
        <v>812201</v>
      </c>
      <c r="G92" s="1075" t="s">
        <v>2384</v>
      </c>
      <c r="H92" s="1075">
        <v>90534</v>
      </c>
      <c r="I92" s="1075">
        <v>1</v>
      </c>
      <c r="J92" s="1075">
        <v>0</v>
      </c>
      <c r="K92" s="1075">
        <v>0</v>
      </c>
      <c r="L92" s="1075">
        <v>0</v>
      </c>
      <c r="M92" s="1075" t="s">
        <v>1868</v>
      </c>
      <c r="N92" s="1075" t="s">
        <v>1471</v>
      </c>
      <c r="O92" s="1077">
        <v>0</v>
      </c>
      <c r="Q92" s="1074">
        <v>0</v>
      </c>
      <c r="R92" s="1074"/>
      <c r="S92" s="1074"/>
      <c r="T92" s="1074"/>
      <c r="U92" s="1074"/>
      <c r="V92" s="1074"/>
      <c r="W92" s="1074"/>
      <c r="X92" s="1074"/>
      <c r="Y92" s="1074"/>
      <c r="Z92" s="1074"/>
      <c r="AA92" s="1074"/>
      <c r="AB92" s="1074"/>
      <c r="AC92" s="1074"/>
      <c r="AD92" s="1074"/>
      <c r="AE92" s="1074"/>
      <c r="AF92" s="1074"/>
      <c r="AG92" s="1095">
        <f>VLOOKUP(B92,עזר!A$2:B$329,2,FALSE)</f>
        <v>8856.35</v>
      </c>
      <c r="AH92" s="1074">
        <f t="shared" si="37"/>
        <v>0</v>
      </c>
      <c r="AI92" s="1074">
        <f t="shared" si="38"/>
        <v>8856.35</v>
      </c>
      <c r="AJ92" s="1077">
        <f>VLOOKUP(B92,Sheet1!D$2:K$430,7,FALSE)</f>
        <v>0.22</v>
      </c>
      <c r="AK92" s="1074">
        <f>VLOOKUP(B92,Sheet1!D$2:L$430,8,FALSE)</f>
        <v>18000</v>
      </c>
      <c r="AL92" s="1109">
        <f t="shared" si="39"/>
        <v>0</v>
      </c>
      <c r="AM92" s="1074">
        <v>0</v>
      </c>
      <c r="AN92" s="1085">
        <f t="shared" si="40"/>
        <v>0</v>
      </c>
      <c r="AO92" s="1074">
        <f t="shared" si="41"/>
        <v>0</v>
      </c>
      <c r="AP92" s="1080"/>
    </row>
    <row r="93" spans="1:42" outlineLevel="2" x14ac:dyDescent="0.2">
      <c r="A93" s="1075">
        <v>506</v>
      </c>
      <c r="B93" s="1078">
        <v>999999</v>
      </c>
      <c r="C93" s="1075">
        <v>999999999</v>
      </c>
      <c r="D93" s="1075" t="s">
        <v>1832</v>
      </c>
      <c r="E93" s="1075" t="s">
        <v>1833</v>
      </c>
      <c r="F93" s="1075">
        <v>812201</v>
      </c>
      <c r="M93" s="1075" t="s">
        <v>1868</v>
      </c>
      <c r="N93" s="1075" t="s">
        <v>1471</v>
      </c>
      <c r="O93" s="1077">
        <v>0</v>
      </c>
      <c r="Q93" s="1085">
        <v>0</v>
      </c>
      <c r="R93" s="1085"/>
      <c r="S93" s="1085"/>
      <c r="T93" s="1085"/>
      <c r="U93" s="1085"/>
      <c r="V93" s="1085"/>
      <c r="W93" s="1085"/>
      <c r="X93" s="1085"/>
      <c r="Y93" s="1085"/>
      <c r="Z93" s="1085"/>
      <c r="AA93" s="1085"/>
      <c r="AB93" s="1085"/>
      <c r="AC93" s="1085"/>
      <c r="AD93" s="1085"/>
      <c r="AE93" s="1085"/>
      <c r="AF93" s="1085"/>
      <c r="AG93" s="1096">
        <v>0</v>
      </c>
      <c r="AH93" s="1085">
        <f t="shared" si="37"/>
        <v>0</v>
      </c>
      <c r="AI93" s="1085">
        <v>0</v>
      </c>
      <c r="AJ93" s="1077">
        <v>1.22</v>
      </c>
      <c r="AK93" s="1074">
        <f>36000+35000</f>
        <v>71000</v>
      </c>
      <c r="AL93" s="1109">
        <f t="shared" si="39"/>
        <v>0</v>
      </c>
      <c r="AM93" s="1074">
        <f>AI93*1.02</f>
        <v>0</v>
      </c>
      <c r="AN93" s="1085">
        <f t="shared" si="40"/>
        <v>0</v>
      </c>
      <c r="AO93" s="1074">
        <f t="shared" si="41"/>
        <v>0</v>
      </c>
      <c r="AP93" s="1080"/>
    </row>
    <row r="94" spans="1:42" outlineLevel="2" x14ac:dyDescent="0.2">
      <c r="A94" s="1075">
        <v>506</v>
      </c>
      <c r="B94" s="1078">
        <v>30265944</v>
      </c>
      <c r="C94" s="1075">
        <v>302659446</v>
      </c>
      <c r="D94" s="1075" t="s">
        <v>2114</v>
      </c>
      <c r="E94" s="1075" t="s">
        <v>2153</v>
      </c>
      <c r="F94" s="1075">
        <v>812201</v>
      </c>
      <c r="G94" s="1075" t="s">
        <v>2107</v>
      </c>
      <c r="H94" s="1075">
        <v>90534</v>
      </c>
      <c r="I94" s="1075">
        <v>1</v>
      </c>
      <c r="J94" s="1075">
        <v>0</v>
      </c>
      <c r="K94" s="1075">
        <v>0</v>
      </c>
      <c r="L94" s="1075">
        <v>0</v>
      </c>
      <c r="M94" s="1075" t="s">
        <v>1868</v>
      </c>
      <c r="N94" s="1075" t="s">
        <v>1471</v>
      </c>
      <c r="O94" s="1077">
        <f>P94/100</f>
        <v>0</v>
      </c>
      <c r="P94" s="1075">
        <v>0</v>
      </c>
      <c r="Q94" s="1074">
        <v>702.51</v>
      </c>
      <c r="R94" s="1074">
        <v>76.2</v>
      </c>
      <c r="S94" s="1074">
        <v>19.47</v>
      </c>
      <c r="T94" s="1074">
        <v>564.5</v>
      </c>
      <c r="U94" s="1074">
        <v>0</v>
      </c>
      <c r="V94" s="1074">
        <v>0</v>
      </c>
      <c r="W94" s="1074">
        <v>0</v>
      </c>
      <c r="X94" s="1074">
        <v>0</v>
      </c>
      <c r="Y94" s="1074">
        <v>0</v>
      </c>
      <c r="Z94" s="1074">
        <v>0</v>
      </c>
      <c r="AA94" s="1074">
        <v>564.5</v>
      </c>
      <c r="AB94" s="1074">
        <v>42.34</v>
      </c>
      <c r="AC94" s="1074">
        <v>0</v>
      </c>
      <c r="AD94" s="1074">
        <v>0</v>
      </c>
      <c r="AE94" s="1074">
        <v>1812500</v>
      </c>
      <c r="AF94" s="1074" t="s">
        <v>251</v>
      </c>
      <c r="AG94" s="1095">
        <f>VLOOKUP(B94,עזר!A$2:B$329,2,FALSE)</f>
        <v>33311.81</v>
      </c>
      <c r="AH94" s="1074">
        <f t="shared" si="37"/>
        <v>2107.5299999999997</v>
      </c>
      <c r="AI94" s="1074">
        <f>AH94+AG94</f>
        <v>35419.339999999997</v>
      </c>
      <c r="AJ94" s="1077">
        <f>VLOOKUP(B94,Sheet1!D$2:K$430,7,FALSE)</f>
        <v>0</v>
      </c>
      <c r="AK94" s="1074">
        <f>VLOOKUP(B94,Sheet1!D$2:L$430,8,FALSE)</f>
        <v>0</v>
      </c>
      <c r="AL94" s="1109">
        <f t="shared" si="39"/>
        <v>0</v>
      </c>
      <c r="AM94" s="1074">
        <f>AI94*1.02</f>
        <v>36127.726799999997</v>
      </c>
      <c r="AN94" s="1085">
        <f t="shared" si="40"/>
        <v>0</v>
      </c>
      <c r="AO94" s="1074">
        <f t="shared" si="41"/>
        <v>36127.726799999997</v>
      </c>
      <c r="AP94" s="1080"/>
    </row>
    <row r="95" spans="1:42" outlineLevel="2" x14ac:dyDescent="0.2">
      <c r="A95" s="1075">
        <v>506</v>
      </c>
      <c r="B95" s="1078"/>
      <c r="D95" s="1075" t="s">
        <v>975</v>
      </c>
      <c r="E95" s="1075" t="s">
        <v>1389</v>
      </c>
      <c r="F95" s="1075">
        <v>812201</v>
      </c>
      <c r="M95" s="1075" t="s">
        <v>1868</v>
      </c>
      <c r="N95" s="1075" t="s">
        <v>1471</v>
      </c>
      <c r="Q95" s="1074"/>
      <c r="R95" s="1074"/>
      <c r="S95" s="1074"/>
      <c r="T95" s="1074"/>
      <c r="U95" s="1074"/>
      <c r="V95" s="1074"/>
      <c r="W95" s="1074"/>
      <c r="X95" s="1074"/>
      <c r="Y95" s="1074"/>
      <c r="Z95" s="1074"/>
      <c r="AA95" s="1074"/>
      <c r="AB95" s="1074"/>
      <c r="AC95" s="1074"/>
      <c r="AD95" s="1074"/>
      <c r="AE95" s="1074"/>
      <c r="AF95" s="1074"/>
      <c r="AG95" s="1095"/>
      <c r="AH95" s="1074"/>
      <c r="AI95" s="1074"/>
      <c r="AK95" s="1074"/>
      <c r="AL95" s="1109">
        <v>0</v>
      </c>
      <c r="AM95" s="1074">
        <v>30000</v>
      </c>
      <c r="AP95" s="1080"/>
    </row>
    <row r="96" spans="1:42" outlineLevel="1" x14ac:dyDescent="0.2">
      <c r="B96" s="1078"/>
      <c r="F96" s="1088" t="s">
        <v>3093</v>
      </c>
      <c r="O96" s="1077">
        <f>SUBTOTAL(9,O82:O95)</f>
        <v>0</v>
      </c>
      <c r="Q96" s="1074">
        <f>SUBTOTAL(9,Q82:Q95)</f>
        <v>7219.43</v>
      </c>
      <c r="R96" s="1074"/>
      <c r="S96" s="1074"/>
      <c r="T96" s="1074"/>
      <c r="U96" s="1074"/>
      <c r="V96" s="1074"/>
      <c r="W96" s="1074"/>
      <c r="X96" s="1074"/>
      <c r="Y96" s="1074"/>
      <c r="Z96" s="1074"/>
      <c r="AA96" s="1074"/>
      <c r="AB96" s="1074"/>
      <c r="AC96" s="1074"/>
      <c r="AD96" s="1074"/>
      <c r="AE96" s="1074"/>
      <c r="AF96" s="1074"/>
      <c r="AG96" s="1095">
        <f t="shared" ref="AG96:AM96" si="42">SUBTOTAL(9,AG82:AG95)</f>
        <v>246049.01000000004</v>
      </c>
      <c r="AH96" s="1074">
        <f t="shared" si="42"/>
        <v>21658.29</v>
      </c>
      <c r="AI96" s="1074">
        <f t="shared" si="42"/>
        <v>267707.30000000005</v>
      </c>
      <c r="AJ96" s="1077">
        <f t="shared" si="42"/>
        <v>5.1858823529411771</v>
      </c>
      <c r="AK96" s="1074">
        <f t="shared" si="42"/>
        <v>381386</v>
      </c>
      <c r="AL96" s="1109">
        <f t="shared" si="42"/>
        <v>0</v>
      </c>
      <c r="AM96" s="1074">
        <f t="shared" si="42"/>
        <v>207020.9694</v>
      </c>
      <c r="AP96" s="1080">
        <f>SUBTOTAL(9,AP82:AP95)</f>
        <v>0</v>
      </c>
    </row>
    <row r="97" spans="1:42" outlineLevel="2" x14ac:dyDescent="0.2">
      <c r="A97" s="1075">
        <v>506</v>
      </c>
      <c r="B97" s="1078">
        <v>30169548</v>
      </c>
      <c r="C97" s="1075">
        <v>301695482</v>
      </c>
      <c r="D97" s="1075" t="s">
        <v>2112</v>
      </c>
      <c r="E97" s="1075" t="s">
        <v>2137</v>
      </c>
      <c r="F97" s="1075">
        <v>812202</v>
      </c>
      <c r="G97" s="1075" t="s">
        <v>2107</v>
      </c>
      <c r="H97" s="1075">
        <v>90534</v>
      </c>
      <c r="I97" s="1075">
        <v>1</v>
      </c>
      <c r="J97" s="1075">
        <v>0</v>
      </c>
      <c r="K97" s="1075">
        <v>0</v>
      </c>
      <c r="L97" s="1075">
        <v>0</v>
      </c>
      <c r="M97" s="1075" t="s">
        <v>1421</v>
      </c>
      <c r="N97" s="1075" t="s">
        <v>3173</v>
      </c>
      <c r="O97" s="1077">
        <f>P97/100</f>
        <v>0</v>
      </c>
      <c r="P97" s="1075">
        <v>0</v>
      </c>
      <c r="Q97" s="1074">
        <v>2699.37</v>
      </c>
      <c r="R97" s="1074">
        <v>283.5</v>
      </c>
      <c r="S97" s="1074">
        <v>75.12</v>
      </c>
      <c r="T97" s="1074">
        <v>2177.4499999999998</v>
      </c>
      <c r="U97" s="1074">
        <v>0</v>
      </c>
      <c r="V97" s="1074">
        <v>0</v>
      </c>
      <c r="W97" s="1074">
        <v>0</v>
      </c>
      <c r="X97" s="1074">
        <v>0</v>
      </c>
      <c r="Y97" s="1074">
        <v>77.45</v>
      </c>
      <c r="Z97" s="1074">
        <v>0</v>
      </c>
      <c r="AA97" s="1074">
        <v>2100</v>
      </c>
      <c r="AB97" s="1074">
        <v>163.30000000000001</v>
      </c>
      <c r="AC97" s="1074">
        <v>0</v>
      </c>
      <c r="AD97" s="1074">
        <v>0</v>
      </c>
      <c r="AE97" s="1074">
        <v>1812202</v>
      </c>
      <c r="AF97" s="1074" t="s">
        <v>251</v>
      </c>
      <c r="AG97" s="1095">
        <f>VLOOKUP(B97,עזר!A$2:B$329,2,FALSE)</f>
        <v>25339.16</v>
      </c>
      <c r="AH97" s="1074">
        <f>Q97*3</f>
        <v>8098.11</v>
      </c>
      <c r="AI97" s="1074">
        <f>AH97+AG97</f>
        <v>33437.269999999997</v>
      </c>
      <c r="AJ97" s="1077" t="str">
        <f>VLOOKUP(B97,Sheet1!D$2:K$430,7,FALSE)</f>
        <v>שעתי</v>
      </c>
      <c r="AK97" s="1074">
        <f>VLOOKUP(B97,Sheet1!D$2:L$430,8,FALSE)</f>
        <v>34000</v>
      </c>
      <c r="AL97" s="1109">
        <f>O97</f>
        <v>0</v>
      </c>
      <c r="AM97" s="1074">
        <f>AI97*1.02</f>
        <v>34106.015399999997</v>
      </c>
      <c r="AN97" s="1085">
        <f t="shared" ref="AN97:AO99" si="43">AL97</f>
        <v>0</v>
      </c>
      <c r="AO97" s="1074">
        <f t="shared" si="43"/>
        <v>34106.015399999997</v>
      </c>
      <c r="AP97" s="1080"/>
    </row>
    <row r="98" spans="1:42" outlineLevel="2" x14ac:dyDescent="0.2">
      <c r="A98" s="1075">
        <v>506</v>
      </c>
      <c r="B98" s="1078">
        <v>30292548</v>
      </c>
      <c r="C98" s="1075">
        <v>302925482</v>
      </c>
      <c r="D98" s="1075" t="s">
        <v>2138</v>
      </c>
      <c r="E98" s="1075" t="s">
        <v>2139</v>
      </c>
      <c r="F98" s="1075">
        <v>812202</v>
      </c>
      <c r="G98" s="1075" t="s">
        <v>2107</v>
      </c>
      <c r="H98" s="1075">
        <v>90534</v>
      </c>
      <c r="I98" s="1075">
        <v>1</v>
      </c>
      <c r="J98" s="1075">
        <v>0</v>
      </c>
      <c r="K98" s="1075">
        <v>0</v>
      </c>
      <c r="L98" s="1075">
        <v>0</v>
      </c>
      <c r="M98" s="1075" t="s">
        <v>1421</v>
      </c>
      <c r="N98" s="1075" t="s">
        <v>3173</v>
      </c>
      <c r="O98" s="1077">
        <f>P98/100</f>
        <v>0</v>
      </c>
      <c r="P98" s="1075">
        <v>0</v>
      </c>
      <c r="Q98" s="1074">
        <v>4941.7</v>
      </c>
      <c r="R98" s="1074">
        <v>519.75</v>
      </c>
      <c r="S98" s="1074">
        <v>137.5</v>
      </c>
      <c r="T98" s="1074">
        <v>3985.55</v>
      </c>
      <c r="U98" s="1074">
        <v>0</v>
      </c>
      <c r="V98" s="1074">
        <v>0</v>
      </c>
      <c r="W98" s="1074">
        <v>0</v>
      </c>
      <c r="X98" s="1074">
        <v>0</v>
      </c>
      <c r="Y98" s="1074">
        <v>135.55000000000001</v>
      </c>
      <c r="Z98" s="1074">
        <v>0</v>
      </c>
      <c r="AA98" s="1074">
        <v>3850</v>
      </c>
      <c r="AB98" s="1074">
        <v>298.89999999999998</v>
      </c>
      <c r="AC98" s="1074">
        <v>0</v>
      </c>
      <c r="AD98" s="1074">
        <v>0</v>
      </c>
      <c r="AE98" s="1074">
        <v>1812202</v>
      </c>
      <c r="AF98" s="1074" t="s">
        <v>251</v>
      </c>
      <c r="AG98" s="1095">
        <f>VLOOKUP(B98,עזר!A$2:B$329,2,FALSE)</f>
        <v>52120.07</v>
      </c>
      <c r="AH98" s="1074">
        <f>Q98*3</f>
        <v>14825.099999999999</v>
      </c>
      <c r="AI98" s="1074">
        <f>AH98+AG98</f>
        <v>66945.17</v>
      </c>
      <c r="AJ98" s="1077" t="str">
        <f>VLOOKUP(B98,Sheet1!D$2:K$430,7,FALSE)</f>
        <v>שעתי</v>
      </c>
      <c r="AK98" s="1074">
        <f>VLOOKUP(B98,Sheet1!D$2:L$430,8,FALSE)</f>
        <v>62100</v>
      </c>
      <c r="AL98" s="1109">
        <f>O98</f>
        <v>0</v>
      </c>
      <c r="AM98" s="1074">
        <f>AI98*1.02</f>
        <v>68284.073399999994</v>
      </c>
      <c r="AN98" s="1085">
        <f t="shared" si="43"/>
        <v>0</v>
      </c>
      <c r="AO98" s="1074">
        <f t="shared" si="43"/>
        <v>68284.073399999994</v>
      </c>
      <c r="AP98" s="1080"/>
    </row>
    <row r="99" spans="1:42" outlineLevel="2" x14ac:dyDescent="0.2">
      <c r="A99" s="1075">
        <v>506</v>
      </c>
      <c r="B99" s="1078">
        <v>1789630</v>
      </c>
      <c r="C99" s="1075">
        <v>9999999</v>
      </c>
      <c r="D99" s="1075" t="s">
        <v>1482</v>
      </c>
      <c r="E99" s="1075" t="s">
        <v>758</v>
      </c>
      <c r="F99" s="1075">
        <v>812202</v>
      </c>
      <c r="M99" s="1075" t="s">
        <v>2781</v>
      </c>
      <c r="N99" s="1075" t="s">
        <v>2782</v>
      </c>
      <c r="O99" s="1077">
        <v>0</v>
      </c>
      <c r="Q99" s="1085">
        <v>0</v>
      </c>
      <c r="R99" s="1085"/>
      <c r="S99" s="1085"/>
      <c r="T99" s="1085"/>
      <c r="U99" s="1085"/>
      <c r="V99" s="1085"/>
      <c r="W99" s="1085"/>
      <c r="X99" s="1085"/>
      <c r="Y99" s="1085"/>
      <c r="Z99" s="1085"/>
      <c r="AA99" s="1085"/>
      <c r="AB99" s="1085"/>
      <c r="AC99" s="1085"/>
      <c r="AD99" s="1085"/>
      <c r="AE99" s="1085"/>
      <c r="AF99" s="1085"/>
      <c r="AG99" s="1096">
        <v>0</v>
      </c>
      <c r="AH99" s="1080">
        <f>Q99*3</f>
        <v>0</v>
      </c>
      <c r="AI99" s="1085">
        <v>0</v>
      </c>
      <c r="AJ99" s="1077" t="s">
        <v>2780</v>
      </c>
      <c r="AK99" s="1074">
        <v>40000</v>
      </c>
      <c r="AL99" s="1109">
        <f>O99</f>
        <v>0</v>
      </c>
      <c r="AM99" s="1074">
        <f>AI99*1.02</f>
        <v>0</v>
      </c>
      <c r="AN99" s="1085">
        <f t="shared" si="43"/>
        <v>0</v>
      </c>
      <c r="AO99" s="1074">
        <f t="shared" si="43"/>
        <v>0</v>
      </c>
      <c r="AP99" s="1080"/>
    </row>
    <row r="100" spans="1:42" outlineLevel="1" x14ac:dyDescent="0.2">
      <c r="B100" s="1078"/>
      <c r="F100" s="1088" t="s">
        <v>3094</v>
      </c>
      <c r="O100" s="1077">
        <f>SUBTOTAL(9,O97:O99)</f>
        <v>0</v>
      </c>
      <c r="Q100" s="1085">
        <f>SUBTOTAL(9,Q97:Q99)</f>
        <v>7641.07</v>
      </c>
      <c r="R100" s="1085"/>
      <c r="S100" s="1085"/>
      <c r="T100" s="1085"/>
      <c r="U100" s="1085"/>
      <c r="V100" s="1085"/>
      <c r="W100" s="1085"/>
      <c r="X100" s="1085"/>
      <c r="Y100" s="1085"/>
      <c r="Z100" s="1085"/>
      <c r="AA100" s="1085"/>
      <c r="AB100" s="1085"/>
      <c r="AC100" s="1085"/>
      <c r="AD100" s="1085"/>
      <c r="AE100" s="1085"/>
      <c r="AF100" s="1085"/>
      <c r="AG100" s="1096">
        <f t="shared" ref="AG100:AM100" si="44">SUBTOTAL(9,AG97:AG99)</f>
        <v>77459.23</v>
      </c>
      <c r="AH100" s="1080">
        <f t="shared" si="44"/>
        <v>22923.21</v>
      </c>
      <c r="AI100" s="1085">
        <f t="shared" si="44"/>
        <v>100382.44</v>
      </c>
      <c r="AJ100" s="1077">
        <f t="shared" si="44"/>
        <v>0</v>
      </c>
      <c r="AK100" s="1074">
        <f t="shared" si="44"/>
        <v>136100</v>
      </c>
      <c r="AL100" s="1109">
        <f t="shared" si="44"/>
        <v>0</v>
      </c>
      <c r="AM100" s="1074">
        <f t="shared" si="44"/>
        <v>102390.0888</v>
      </c>
      <c r="AP100" s="1080">
        <f>SUBTOTAL(9,AP97:AP99)</f>
        <v>0</v>
      </c>
    </row>
    <row r="101" spans="1:42" outlineLevel="2" x14ac:dyDescent="0.2">
      <c r="A101" s="1075">
        <v>506</v>
      </c>
      <c r="B101" s="1075">
        <v>1153750</v>
      </c>
      <c r="C101" s="1075">
        <v>11537503</v>
      </c>
      <c r="D101" s="1075" t="s">
        <v>2117</v>
      </c>
      <c r="E101" s="1075" t="s">
        <v>2392</v>
      </c>
      <c r="F101" s="1075">
        <v>812203</v>
      </c>
      <c r="G101" s="1075" t="s">
        <v>2384</v>
      </c>
      <c r="H101" s="1075">
        <v>90534</v>
      </c>
      <c r="I101" s="1075">
        <v>1</v>
      </c>
      <c r="J101" s="1075">
        <v>0</v>
      </c>
      <c r="K101" s="1075">
        <v>0</v>
      </c>
      <c r="L101" s="1075">
        <v>0</v>
      </c>
      <c r="O101" s="1077">
        <v>0</v>
      </c>
      <c r="Q101" s="1074">
        <v>0</v>
      </c>
      <c r="R101" s="1074"/>
      <c r="S101" s="1074"/>
      <c r="T101" s="1074"/>
      <c r="U101" s="1074"/>
      <c r="V101" s="1074"/>
      <c r="W101" s="1074"/>
      <c r="X101" s="1074"/>
      <c r="Y101" s="1074"/>
      <c r="Z101" s="1074"/>
      <c r="AA101" s="1074"/>
      <c r="AB101" s="1074"/>
      <c r="AC101" s="1074"/>
      <c r="AD101" s="1074"/>
      <c r="AE101" s="1074"/>
      <c r="AF101" s="1074"/>
      <c r="AG101" s="1095">
        <f>VLOOKUP(B101,עזר!A$2:B$329,2,FALSE)</f>
        <v>5994.88</v>
      </c>
      <c r="AH101" s="1074">
        <f>Q101*3</f>
        <v>0</v>
      </c>
      <c r="AI101" s="1074">
        <f>AH101+AG101</f>
        <v>5994.88</v>
      </c>
      <c r="AJ101" s="1077">
        <f>VLOOKUP(B101,Sheet1!D$2:K$430,7,FALSE)</f>
        <v>0.70588235294117652</v>
      </c>
      <c r="AK101" s="1074">
        <f>VLOOKUP(B101,Sheet1!D$2:L$430,8,FALSE)</f>
        <v>40000</v>
      </c>
      <c r="AL101" s="1109">
        <f>O101</f>
        <v>0</v>
      </c>
      <c r="AM101" s="1074">
        <v>0</v>
      </c>
      <c r="AN101" s="1085">
        <f>AL101</f>
        <v>0</v>
      </c>
      <c r="AO101" s="1074">
        <f>AM101</f>
        <v>0</v>
      </c>
      <c r="AP101" s="1080"/>
    </row>
    <row r="102" spans="1:42" outlineLevel="1" x14ac:dyDescent="0.2">
      <c r="F102" s="1088" t="s">
        <v>3095</v>
      </c>
      <c r="O102" s="1077">
        <f>SUBTOTAL(9,O101:O101)</f>
        <v>0</v>
      </c>
      <c r="Q102" s="1074">
        <f>SUBTOTAL(9,Q101:Q101)</f>
        <v>0</v>
      </c>
      <c r="R102" s="1074"/>
      <c r="S102" s="1074"/>
      <c r="T102" s="1074"/>
      <c r="U102" s="1074"/>
      <c r="V102" s="1074"/>
      <c r="W102" s="1074"/>
      <c r="X102" s="1074"/>
      <c r="Y102" s="1074"/>
      <c r="Z102" s="1074"/>
      <c r="AA102" s="1074"/>
      <c r="AB102" s="1074"/>
      <c r="AC102" s="1074"/>
      <c r="AD102" s="1074"/>
      <c r="AE102" s="1074"/>
      <c r="AF102" s="1074"/>
      <c r="AG102" s="1095">
        <f t="shared" ref="AG102:AM102" si="45">SUBTOTAL(9,AG101:AG101)</f>
        <v>5994.88</v>
      </c>
      <c r="AH102" s="1074">
        <f t="shared" si="45"/>
        <v>0</v>
      </c>
      <c r="AI102" s="1074">
        <f t="shared" si="45"/>
        <v>5994.88</v>
      </c>
      <c r="AJ102" s="1077">
        <f t="shared" si="45"/>
        <v>0.70588235294117652</v>
      </c>
      <c r="AK102" s="1074">
        <f t="shared" si="45"/>
        <v>40000</v>
      </c>
      <c r="AL102" s="1109">
        <f t="shared" si="45"/>
        <v>0</v>
      </c>
      <c r="AM102" s="1074">
        <f t="shared" si="45"/>
        <v>0</v>
      </c>
      <c r="AP102" s="1080">
        <f>SUBTOTAL(9,AP101:AP101)</f>
        <v>0</v>
      </c>
    </row>
    <row r="103" spans="1:42" outlineLevel="2" x14ac:dyDescent="0.2">
      <c r="A103" s="1075">
        <v>506</v>
      </c>
      <c r="B103" s="1078">
        <v>20581909</v>
      </c>
      <c r="C103" s="1075">
        <v>205819097</v>
      </c>
      <c r="D103" s="1075" t="s">
        <v>2134</v>
      </c>
      <c r="E103" s="1075" t="s">
        <v>2135</v>
      </c>
      <c r="F103" s="1075">
        <v>812205</v>
      </c>
      <c r="G103" s="1075" t="s">
        <v>2107</v>
      </c>
      <c r="H103" s="1075">
        <v>90534</v>
      </c>
      <c r="I103" s="1075">
        <v>1</v>
      </c>
      <c r="J103" s="1075">
        <v>0</v>
      </c>
      <c r="K103" s="1075">
        <v>0</v>
      </c>
      <c r="L103" s="1075">
        <v>0</v>
      </c>
      <c r="M103" s="1075" t="s">
        <v>1421</v>
      </c>
      <c r="N103" s="1075" t="s">
        <v>3149</v>
      </c>
      <c r="O103" s="1077">
        <f>P103/100</f>
        <v>0</v>
      </c>
      <c r="P103" s="1075">
        <v>0</v>
      </c>
      <c r="Q103" s="1074">
        <v>735.95</v>
      </c>
      <c r="R103" s="1074">
        <v>79.849999999999994</v>
      </c>
      <c r="S103" s="1074">
        <v>20.399999999999999</v>
      </c>
      <c r="T103" s="1074">
        <v>591.35</v>
      </c>
      <c r="U103" s="1074">
        <v>0</v>
      </c>
      <c r="V103" s="1074">
        <v>0</v>
      </c>
      <c r="W103" s="1074">
        <v>0</v>
      </c>
      <c r="X103" s="1074">
        <v>0</v>
      </c>
      <c r="Y103" s="1074">
        <v>0</v>
      </c>
      <c r="Z103" s="1074">
        <v>0</v>
      </c>
      <c r="AA103" s="1074">
        <v>591.35</v>
      </c>
      <c r="AB103" s="1074">
        <v>44.35</v>
      </c>
      <c r="AC103" s="1074">
        <v>0</v>
      </c>
      <c r="AD103" s="1074">
        <v>0</v>
      </c>
      <c r="AE103" s="1074">
        <v>1812201</v>
      </c>
      <c r="AF103" s="1074" t="s">
        <v>251</v>
      </c>
      <c r="AG103" s="1095">
        <f>VLOOKUP(B103,עזר!A$2:B$329,2,FALSE)</f>
        <v>34376</v>
      </c>
      <c r="AH103" s="1074">
        <f>Q103*3</f>
        <v>2207.8500000000004</v>
      </c>
      <c r="AI103" s="1074">
        <f>AH103+AG103</f>
        <v>36583.85</v>
      </c>
      <c r="AJ103" s="1077">
        <f>VLOOKUP(B103,Sheet1!D$2:K$430,7,FALSE)</f>
        <v>0.35294117647058826</v>
      </c>
      <c r="AK103" s="1074">
        <f>VLOOKUP(B103,Sheet1!D$2:L$430,8,FALSE)</f>
        <v>56000</v>
      </c>
      <c r="AL103" s="1109">
        <f>O103</f>
        <v>0</v>
      </c>
      <c r="AM103" s="1074">
        <f>AI103*1.02</f>
        <v>37315.527000000002</v>
      </c>
      <c r="AN103" s="1085">
        <f>AL103</f>
        <v>0</v>
      </c>
      <c r="AO103" s="1074">
        <f>AM103</f>
        <v>37315.527000000002</v>
      </c>
      <c r="AP103" s="1080"/>
    </row>
    <row r="104" spans="1:42" outlineLevel="2" x14ac:dyDescent="0.2">
      <c r="A104" s="1075">
        <v>506</v>
      </c>
      <c r="B104" s="1078">
        <v>2597378</v>
      </c>
      <c r="C104" s="1075">
        <v>25973785</v>
      </c>
      <c r="D104" s="1075" t="s">
        <v>1709</v>
      </c>
      <c r="E104" s="1075" t="s">
        <v>2284</v>
      </c>
      <c r="F104" s="1075">
        <v>812205</v>
      </c>
      <c r="G104" s="1075" t="s">
        <v>2107</v>
      </c>
      <c r="H104" s="1075">
        <v>90534</v>
      </c>
      <c r="I104" s="1075">
        <v>1</v>
      </c>
      <c r="J104" s="1075">
        <v>0</v>
      </c>
      <c r="K104" s="1075">
        <v>0</v>
      </c>
      <c r="L104" s="1075">
        <v>0</v>
      </c>
      <c r="M104" s="1075" t="s">
        <v>1421</v>
      </c>
      <c r="N104" s="1075" t="s">
        <v>3149</v>
      </c>
      <c r="O104" s="1077">
        <f>P104/100</f>
        <v>0</v>
      </c>
      <c r="P104" s="1075">
        <v>0</v>
      </c>
      <c r="Q104" s="1074">
        <v>2579.42</v>
      </c>
      <c r="R104" s="1074">
        <v>395.1</v>
      </c>
      <c r="S104" s="1074">
        <v>67.92</v>
      </c>
      <c r="T104" s="1074">
        <v>1968.75</v>
      </c>
      <c r="U104" s="1074">
        <v>0</v>
      </c>
      <c r="V104" s="1074">
        <v>0</v>
      </c>
      <c r="W104" s="1074">
        <v>0</v>
      </c>
      <c r="X104" s="1074">
        <v>0</v>
      </c>
      <c r="Y104" s="1074">
        <v>87.15</v>
      </c>
      <c r="Z104" s="1074">
        <v>0</v>
      </c>
      <c r="AA104" s="1074">
        <v>1881.6</v>
      </c>
      <c r="AB104" s="1074">
        <v>147.65</v>
      </c>
      <c r="AC104" s="1074">
        <v>0</v>
      </c>
      <c r="AD104" s="1074">
        <v>0</v>
      </c>
      <c r="AE104" s="1074">
        <v>1812205</v>
      </c>
      <c r="AF104" s="1074" t="s">
        <v>251</v>
      </c>
      <c r="AG104" s="1095">
        <f>VLOOKUP(B104,עזר!A$2:B$329,2,FALSE)</f>
        <v>43427.08</v>
      </c>
      <c r="AH104" s="1074">
        <f>Q104*3</f>
        <v>7738.26</v>
      </c>
      <c r="AI104" s="1074">
        <f>AH104+AG104</f>
        <v>51165.340000000004</v>
      </c>
      <c r="AJ104" s="1077">
        <f>VLOOKUP(B104,Sheet1!D$2:K$430,7,FALSE)</f>
        <v>0.22</v>
      </c>
      <c r="AK104" s="1074">
        <f>VLOOKUP(B104,Sheet1!D$2:L$430,8,FALSE)</f>
        <v>48000</v>
      </c>
      <c r="AL104" s="1109">
        <f>O104</f>
        <v>0</v>
      </c>
      <c r="AM104" s="1074">
        <f>AI104*1.02</f>
        <v>52188.646800000002</v>
      </c>
      <c r="AN104" s="1085">
        <f>AL104</f>
        <v>0</v>
      </c>
      <c r="AO104" s="1074">
        <f>AM104</f>
        <v>52188.646800000002</v>
      </c>
      <c r="AP104" s="1080"/>
    </row>
    <row r="105" spans="1:42" outlineLevel="2" x14ac:dyDescent="0.2">
      <c r="A105" s="1075">
        <v>506</v>
      </c>
      <c r="B105" s="1078"/>
      <c r="D105" s="1075" t="s">
        <v>3200</v>
      </c>
      <c r="E105" s="1075" t="s">
        <v>3201</v>
      </c>
      <c r="F105" s="1075">
        <v>812205</v>
      </c>
      <c r="M105" s="1075" t="s">
        <v>1421</v>
      </c>
      <c r="N105" s="1075" t="s">
        <v>3149</v>
      </c>
      <c r="Q105" s="1074"/>
      <c r="R105" s="1074"/>
      <c r="S105" s="1074"/>
      <c r="T105" s="1074"/>
      <c r="U105" s="1074"/>
      <c r="V105" s="1074"/>
      <c r="W105" s="1074"/>
      <c r="X105" s="1074"/>
      <c r="Y105" s="1074"/>
      <c r="Z105" s="1074"/>
      <c r="AA105" s="1074"/>
      <c r="AB105" s="1074"/>
      <c r="AC105" s="1074"/>
      <c r="AD105" s="1074"/>
      <c r="AE105" s="1074"/>
      <c r="AF105" s="1074"/>
      <c r="AG105" s="1095"/>
      <c r="AH105" s="1074"/>
      <c r="AI105" s="1074"/>
      <c r="AK105" s="1074"/>
      <c r="AL105" s="1109"/>
      <c r="AM105" s="1074">
        <v>50000</v>
      </c>
      <c r="AO105" s="1074">
        <v>50000</v>
      </c>
      <c r="AP105" s="1080"/>
    </row>
    <row r="106" spans="1:42" outlineLevel="1" x14ac:dyDescent="0.2">
      <c r="B106" s="1078"/>
      <c r="F106" s="1088" t="s">
        <v>3096</v>
      </c>
      <c r="O106" s="1077">
        <f>SUBTOTAL(9,O103:O105)</f>
        <v>0</v>
      </c>
      <c r="Q106" s="1074">
        <f>SUBTOTAL(9,Q103:Q105)</f>
        <v>3315.37</v>
      </c>
      <c r="R106" s="1074"/>
      <c r="S106" s="1074"/>
      <c r="T106" s="1074"/>
      <c r="U106" s="1074"/>
      <c r="V106" s="1074"/>
      <c r="W106" s="1074"/>
      <c r="X106" s="1074"/>
      <c r="Y106" s="1074"/>
      <c r="Z106" s="1074"/>
      <c r="AA106" s="1074"/>
      <c r="AB106" s="1074"/>
      <c r="AC106" s="1074"/>
      <c r="AD106" s="1074"/>
      <c r="AE106" s="1074"/>
      <c r="AF106" s="1074"/>
      <c r="AG106" s="1095">
        <f t="shared" ref="AG106:AM106" si="46">SUBTOTAL(9,AG103:AG105)</f>
        <v>77803.08</v>
      </c>
      <c r="AH106" s="1074">
        <f t="shared" si="46"/>
        <v>9946.11</v>
      </c>
      <c r="AI106" s="1074">
        <f t="shared" si="46"/>
        <v>87749.19</v>
      </c>
      <c r="AJ106" s="1077">
        <f t="shared" si="46"/>
        <v>0.57294117647058829</v>
      </c>
      <c r="AK106" s="1074">
        <f t="shared" si="46"/>
        <v>104000</v>
      </c>
      <c r="AL106" s="1109">
        <f t="shared" si="46"/>
        <v>0</v>
      </c>
      <c r="AM106" s="1074">
        <f t="shared" si="46"/>
        <v>139504.17379999999</v>
      </c>
      <c r="AP106" s="1080">
        <f>SUBTOTAL(9,AP103:AP105)</f>
        <v>0</v>
      </c>
    </row>
    <row r="107" spans="1:42" outlineLevel="2" x14ac:dyDescent="0.2">
      <c r="A107" s="1075">
        <v>506</v>
      </c>
      <c r="B107" s="1078">
        <v>99999999</v>
      </c>
      <c r="C107" s="1075">
        <v>9999999</v>
      </c>
      <c r="D107" s="1075" t="s">
        <v>1403</v>
      </c>
      <c r="E107" s="1075" t="s">
        <v>1501</v>
      </c>
      <c r="F107" s="1075">
        <v>812215</v>
      </c>
      <c r="M107" s="1075" t="s">
        <v>2774</v>
      </c>
      <c r="N107" s="1075" t="s">
        <v>2783</v>
      </c>
      <c r="O107" s="1077">
        <v>0</v>
      </c>
      <c r="Q107" s="1085">
        <v>0</v>
      </c>
      <c r="R107" s="1085"/>
      <c r="S107" s="1085"/>
      <c r="T107" s="1085"/>
      <c r="U107" s="1085"/>
      <c r="V107" s="1085"/>
      <c r="W107" s="1085"/>
      <c r="X107" s="1085"/>
      <c r="Y107" s="1085"/>
      <c r="Z107" s="1085"/>
      <c r="AA107" s="1085"/>
      <c r="AB107" s="1085"/>
      <c r="AC107" s="1085"/>
      <c r="AD107" s="1085"/>
      <c r="AE107" s="1085"/>
      <c r="AF107" s="1085"/>
      <c r="AG107" s="1096">
        <v>0</v>
      </c>
      <c r="AH107" s="1085">
        <f>Q107*3</f>
        <v>0</v>
      </c>
      <c r="AI107" s="1085">
        <v>0</v>
      </c>
      <c r="AJ107" s="1077" t="s">
        <v>2780</v>
      </c>
      <c r="AK107" s="1074">
        <v>106000</v>
      </c>
      <c r="AL107" s="1109">
        <f>O107</f>
        <v>0</v>
      </c>
      <c r="AM107" s="1074">
        <f>AI107*1.02</f>
        <v>0</v>
      </c>
      <c r="AN107" s="1085">
        <f>AL107</f>
        <v>0</v>
      </c>
      <c r="AO107" s="1074">
        <f>AM107</f>
        <v>0</v>
      </c>
      <c r="AP107" s="1080"/>
    </row>
    <row r="108" spans="1:42" outlineLevel="1" x14ac:dyDescent="0.2">
      <c r="B108" s="1078"/>
      <c r="F108" s="1088" t="s">
        <v>3097</v>
      </c>
      <c r="O108" s="1077">
        <f>SUBTOTAL(9,O107:O107)</f>
        <v>0</v>
      </c>
      <c r="Q108" s="1085">
        <f>SUBTOTAL(9,Q107:Q107)</f>
        <v>0</v>
      </c>
      <c r="R108" s="1085"/>
      <c r="S108" s="1085"/>
      <c r="T108" s="1085"/>
      <c r="U108" s="1085"/>
      <c r="V108" s="1085"/>
      <c r="W108" s="1085"/>
      <c r="X108" s="1085"/>
      <c r="Y108" s="1085"/>
      <c r="Z108" s="1085"/>
      <c r="AA108" s="1085"/>
      <c r="AB108" s="1085"/>
      <c r="AC108" s="1085"/>
      <c r="AD108" s="1085"/>
      <c r="AE108" s="1085"/>
      <c r="AF108" s="1085"/>
      <c r="AG108" s="1096">
        <f t="shared" ref="AG108:AM108" si="47">SUBTOTAL(9,AG107:AG107)</f>
        <v>0</v>
      </c>
      <c r="AH108" s="1085">
        <f t="shared" si="47"/>
        <v>0</v>
      </c>
      <c r="AI108" s="1085">
        <f t="shared" si="47"/>
        <v>0</v>
      </c>
      <c r="AJ108" s="1077">
        <f t="shared" si="47"/>
        <v>0</v>
      </c>
      <c r="AK108" s="1074">
        <f t="shared" si="47"/>
        <v>106000</v>
      </c>
      <c r="AL108" s="1109">
        <f t="shared" si="47"/>
        <v>0</v>
      </c>
      <c r="AM108" s="1074">
        <f t="shared" si="47"/>
        <v>0</v>
      </c>
      <c r="AP108" s="1080">
        <f>SUBTOTAL(9,AP107:AP107)</f>
        <v>0</v>
      </c>
    </row>
    <row r="109" spans="1:42" outlineLevel="2" x14ac:dyDescent="0.2">
      <c r="A109" s="1075">
        <v>506</v>
      </c>
      <c r="B109" s="1078">
        <v>3443238</v>
      </c>
      <c r="C109" s="1075">
        <v>34432385</v>
      </c>
      <c r="D109" s="1075" t="s">
        <v>1419</v>
      </c>
      <c r="E109" s="1075" t="s">
        <v>2116</v>
      </c>
      <c r="F109" s="1075">
        <v>812300</v>
      </c>
      <c r="G109" s="1075" t="s">
        <v>2107</v>
      </c>
      <c r="H109" s="1075">
        <v>90534</v>
      </c>
      <c r="I109" s="1075">
        <v>0</v>
      </c>
      <c r="J109" s="1075">
        <v>5</v>
      </c>
      <c r="K109" s="1075">
        <v>6</v>
      </c>
      <c r="L109" s="1075">
        <v>0</v>
      </c>
      <c r="M109" s="1075" t="s">
        <v>3136</v>
      </c>
      <c r="N109" s="1075" t="s">
        <v>1489</v>
      </c>
      <c r="O109" s="1077">
        <f t="shared" ref="O109:O121" si="48">P109/100</f>
        <v>0.83</v>
      </c>
      <c r="P109" s="1075">
        <v>83</v>
      </c>
      <c r="Q109" s="1074">
        <v>6824.49</v>
      </c>
      <c r="R109" s="1074">
        <v>1034.2</v>
      </c>
      <c r="S109" s="1074">
        <v>180.05</v>
      </c>
      <c r="T109" s="1074">
        <v>5218.8500000000004</v>
      </c>
      <c r="U109" s="1074">
        <v>258.95</v>
      </c>
      <c r="V109" s="1074">
        <v>0</v>
      </c>
      <c r="W109" s="1074">
        <v>0</v>
      </c>
      <c r="X109" s="1074">
        <v>0</v>
      </c>
      <c r="Y109" s="1074">
        <v>35.299999999999997</v>
      </c>
      <c r="Z109" s="1074">
        <v>0</v>
      </c>
      <c r="AA109" s="1074">
        <v>4924.6000000000004</v>
      </c>
      <c r="AB109" s="1074">
        <v>391.39</v>
      </c>
      <c r="AC109" s="1074">
        <v>0</v>
      </c>
      <c r="AD109" s="1074">
        <v>0</v>
      </c>
      <c r="AE109" s="1074">
        <v>1812200</v>
      </c>
      <c r="AF109" s="1074" t="s">
        <v>251</v>
      </c>
      <c r="AG109" s="1095">
        <f>VLOOKUP(B109,עזר!A$2:B$329,2,FALSE)</f>
        <v>68810.76999999999</v>
      </c>
      <c r="AH109" s="1074">
        <f t="shared" ref="AH109:AH121" si="49">Q109*3</f>
        <v>20473.47</v>
      </c>
      <c r="AI109" s="1074">
        <f t="shared" ref="AI109:AI121" si="50">AH109+AG109</f>
        <v>89284.239999999991</v>
      </c>
      <c r="AJ109" s="1077">
        <f>VLOOKUP(B109,Sheet1!D$2:K$430,7,FALSE)</f>
        <v>0.83</v>
      </c>
      <c r="AK109" s="1074">
        <f>VLOOKUP(B109,Sheet1!D$2:L$430,8,FALSE)</f>
        <v>57554</v>
      </c>
      <c r="AL109" s="1109">
        <f t="shared" ref="AL109:AL121" si="51">O109</f>
        <v>0.83</v>
      </c>
      <c r="AM109" s="1074">
        <f t="shared" ref="AM109:AM115" si="52">AI109*1.02</f>
        <v>91069.924799999993</v>
      </c>
      <c r="AN109" s="1085">
        <f t="shared" ref="AN109:AN121" si="53">AL109</f>
        <v>0.83</v>
      </c>
      <c r="AO109" s="1074">
        <f t="shared" ref="AO109:AO121" si="54">AM109</f>
        <v>91069.924799999993</v>
      </c>
      <c r="AP109" s="1080"/>
    </row>
    <row r="110" spans="1:42" outlineLevel="2" x14ac:dyDescent="0.2">
      <c r="A110" s="1075">
        <v>506</v>
      </c>
      <c r="B110" s="1078">
        <v>5631585</v>
      </c>
      <c r="C110" s="1075">
        <v>56315856</v>
      </c>
      <c r="D110" s="1075" t="s">
        <v>2123</v>
      </c>
      <c r="E110" s="1075" t="s">
        <v>2124</v>
      </c>
      <c r="F110" s="1075">
        <v>812300</v>
      </c>
      <c r="G110" s="1075" t="s">
        <v>2107</v>
      </c>
      <c r="H110" s="1075">
        <v>90534</v>
      </c>
      <c r="I110" s="1075">
        <v>1</v>
      </c>
      <c r="J110" s="1075">
        <v>0</v>
      </c>
      <c r="K110" s="1075">
        <v>0</v>
      </c>
      <c r="L110" s="1075">
        <v>0</v>
      </c>
      <c r="M110" s="1075" t="s">
        <v>3136</v>
      </c>
      <c r="N110" s="1075" t="s">
        <v>1489</v>
      </c>
      <c r="O110" s="1077">
        <f t="shared" si="48"/>
        <v>0</v>
      </c>
      <c r="P110" s="1075">
        <v>0</v>
      </c>
      <c r="Q110" s="1074">
        <v>4286.0600000000004</v>
      </c>
      <c r="R110" s="1074">
        <v>0</v>
      </c>
      <c r="S110" s="1074">
        <v>196.07</v>
      </c>
      <c r="T110" s="1074">
        <v>3804.55</v>
      </c>
      <c r="U110" s="1074">
        <v>0</v>
      </c>
      <c r="V110" s="1074">
        <v>0</v>
      </c>
      <c r="W110" s="1074">
        <v>0</v>
      </c>
      <c r="X110" s="1074">
        <v>0</v>
      </c>
      <c r="Y110" s="1074">
        <v>0</v>
      </c>
      <c r="Z110" s="1074">
        <v>0</v>
      </c>
      <c r="AA110" s="1074">
        <v>3804.55</v>
      </c>
      <c r="AB110" s="1074">
        <v>285.44</v>
      </c>
      <c r="AC110" s="1074">
        <v>0</v>
      </c>
      <c r="AD110" s="1074">
        <v>0</v>
      </c>
      <c r="AE110" s="1074">
        <v>1812200</v>
      </c>
      <c r="AF110" s="1074" t="s">
        <v>251</v>
      </c>
      <c r="AG110" s="1095">
        <f>VLOOKUP(B110,עזר!A$2:B$329,2,FALSE)</f>
        <v>87342.24</v>
      </c>
      <c r="AH110" s="1074">
        <f t="shared" si="49"/>
        <v>12858.18</v>
      </c>
      <c r="AI110" s="1074">
        <f t="shared" si="50"/>
        <v>100200.42000000001</v>
      </c>
      <c r="AJ110" s="1077">
        <f>VLOOKUP(B110,Sheet1!D$2:K$430,7,FALSE)</f>
        <v>0.83</v>
      </c>
      <c r="AK110" s="1074">
        <f>VLOOKUP(B110,Sheet1!D$2:L$430,8,FALSE)</f>
        <v>96740</v>
      </c>
      <c r="AL110" s="1109">
        <v>0.83</v>
      </c>
      <c r="AM110" s="1074">
        <f>AI110*1.02+23265</f>
        <v>125469.42840000002</v>
      </c>
      <c r="AN110" s="1085">
        <f t="shared" si="53"/>
        <v>0.83</v>
      </c>
      <c r="AO110" s="1074">
        <f t="shared" si="54"/>
        <v>125469.42840000002</v>
      </c>
      <c r="AP110" s="1080"/>
    </row>
    <row r="111" spans="1:42" outlineLevel="2" x14ac:dyDescent="0.2">
      <c r="A111" s="1075">
        <v>506</v>
      </c>
      <c r="B111" s="1078">
        <v>2996822</v>
      </c>
      <c r="C111" s="1075">
        <v>29968229</v>
      </c>
      <c r="D111" s="1075" t="s">
        <v>2123</v>
      </c>
      <c r="E111" s="1075" t="s">
        <v>2147</v>
      </c>
      <c r="F111" s="1075">
        <v>812300</v>
      </c>
      <c r="G111" s="1075" t="s">
        <v>2107</v>
      </c>
      <c r="H111" s="1075">
        <v>90534</v>
      </c>
      <c r="I111" s="1075">
        <v>1</v>
      </c>
      <c r="J111" s="1075">
        <v>0</v>
      </c>
      <c r="K111" s="1075">
        <v>0</v>
      </c>
      <c r="L111" s="1075">
        <v>0</v>
      </c>
      <c r="M111" s="1075" t="s">
        <v>3136</v>
      </c>
      <c r="N111" s="1075" t="s">
        <v>1489</v>
      </c>
      <c r="O111" s="1077">
        <f t="shared" si="48"/>
        <v>0</v>
      </c>
      <c r="P111" s="1075">
        <v>0</v>
      </c>
      <c r="Q111" s="1074">
        <v>2705.99</v>
      </c>
      <c r="R111" s="1074">
        <v>283.05</v>
      </c>
      <c r="S111" s="1074">
        <v>75.34</v>
      </c>
      <c r="T111" s="1074">
        <v>2183.8000000000002</v>
      </c>
      <c r="U111" s="1074">
        <v>0</v>
      </c>
      <c r="V111" s="1074">
        <v>0</v>
      </c>
      <c r="W111" s="1074">
        <v>0</v>
      </c>
      <c r="X111" s="1074">
        <v>0</v>
      </c>
      <c r="Y111" s="1074">
        <v>87.15</v>
      </c>
      <c r="Z111" s="1074">
        <v>0</v>
      </c>
      <c r="AA111" s="1074">
        <v>2096.65</v>
      </c>
      <c r="AB111" s="1074">
        <v>163.80000000000001</v>
      </c>
      <c r="AC111" s="1074">
        <v>0</v>
      </c>
      <c r="AD111" s="1074">
        <v>0</v>
      </c>
      <c r="AE111" s="1074">
        <v>1812300</v>
      </c>
      <c r="AF111" s="1074" t="s">
        <v>251</v>
      </c>
      <c r="AG111" s="1095">
        <f>VLOOKUP(B111,עזר!A$2:B$329,2,FALSE)</f>
        <v>35115.79</v>
      </c>
      <c r="AH111" s="1074">
        <f t="shared" si="49"/>
        <v>8117.9699999999993</v>
      </c>
      <c r="AI111" s="1074">
        <f t="shared" si="50"/>
        <v>43233.760000000002</v>
      </c>
      <c r="AJ111" s="1077">
        <f>VLOOKUP(B111,Sheet1!D$2:K$430,7,FALSE)</f>
        <v>0</v>
      </c>
      <c r="AK111" s="1074">
        <f>VLOOKUP(B111,Sheet1!D$2:L$430,8,FALSE)</f>
        <v>0</v>
      </c>
      <c r="AL111" s="1109">
        <f t="shared" si="51"/>
        <v>0</v>
      </c>
      <c r="AM111" s="1074">
        <f t="shared" si="52"/>
        <v>44098.4352</v>
      </c>
      <c r="AN111" s="1085">
        <f t="shared" si="53"/>
        <v>0</v>
      </c>
      <c r="AO111" s="1074">
        <f t="shared" si="54"/>
        <v>44098.4352</v>
      </c>
      <c r="AP111" s="1080"/>
    </row>
    <row r="112" spans="1:42" outlineLevel="2" x14ac:dyDescent="0.2">
      <c r="A112" s="1075">
        <v>506</v>
      </c>
      <c r="B112" s="1078">
        <v>2346722</v>
      </c>
      <c r="C112" s="1075">
        <v>23467228</v>
      </c>
      <c r="D112" s="1075" t="s">
        <v>1419</v>
      </c>
      <c r="E112" s="1075" t="s">
        <v>2142</v>
      </c>
      <c r="F112" s="1075">
        <v>812300</v>
      </c>
      <c r="G112" s="1075" t="s">
        <v>2107</v>
      </c>
      <c r="H112" s="1075">
        <v>90534</v>
      </c>
      <c r="I112" s="1075">
        <v>0</v>
      </c>
      <c r="J112" s="1075">
        <v>5</v>
      </c>
      <c r="K112" s="1075">
        <v>6</v>
      </c>
      <c r="L112" s="1075">
        <v>0</v>
      </c>
      <c r="M112" s="1075" t="s">
        <v>3136</v>
      </c>
      <c r="N112" s="1075" t="s">
        <v>1489</v>
      </c>
      <c r="O112" s="1077">
        <f t="shared" si="48"/>
        <v>0.83</v>
      </c>
      <c r="P112" s="1075">
        <v>83</v>
      </c>
      <c r="Q112" s="1074">
        <v>6866.78</v>
      </c>
      <c r="R112" s="1074">
        <v>1182.2</v>
      </c>
      <c r="S112" s="1074">
        <v>178.13</v>
      </c>
      <c r="T112" s="1074">
        <v>5119.2</v>
      </c>
      <c r="U112" s="1074">
        <v>0</v>
      </c>
      <c r="V112" s="1074">
        <v>0</v>
      </c>
      <c r="W112" s="1074">
        <v>0</v>
      </c>
      <c r="X112" s="1074">
        <v>0</v>
      </c>
      <c r="Y112" s="1074">
        <v>112.75</v>
      </c>
      <c r="Z112" s="1074">
        <v>0</v>
      </c>
      <c r="AA112" s="1074">
        <v>5006.45</v>
      </c>
      <c r="AB112" s="1074">
        <v>387.25</v>
      </c>
      <c r="AC112" s="1074">
        <v>0</v>
      </c>
      <c r="AD112" s="1074">
        <v>0</v>
      </c>
      <c r="AE112" s="1074">
        <v>1812300</v>
      </c>
      <c r="AF112" s="1074" t="s">
        <v>251</v>
      </c>
      <c r="AG112" s="1095">
        <f>VLOOKUP(B112,עזר!A$2:B$329,2,FALSE)</f>
        <v>68564.7</v>
      </c>
      <c r="AH112" s="1074">
        <f t="shared" si="49"/>
        <v>20600.34</v>
      </c>
      <c r="AI112" s="1074">
        <f t="shared" si="50"/>
        <v>89165.04</v>
      </c>
      <c r="AJ112" s="1077">
        <f>VLOOKUP(B112,Sheet1!D$2:K$430,7,FALSE)</f>
        <v>0.83</v>
      </c>
      <c r="AK112" s="1074">
        <f>VLOOKUP(B112,Sheet1!D$2:L$430,8,FALSE)</f>
        <v>84784</v>
      </c>
      <c r="AL112" s="1109">
        <f t="shared" si="51"/>
        <v>0.83</v>
      </c>
      <c r="AM112" s="1074">
        <f t="shared" si="52"/>
        <v>90948.340799999991</v>
      </c>
      <c r="AN112" s="1085">
        <f t="shared" si="53"/>
        <v>0.83</v>
      </c>
      <c r="AO112" s="1074">
        <f t="shared" si="54"/>
        <v>90948.340799999991</v>
      </c>
      <c r="AP112" s="1080"/>
    </row>
    <row r="113" spans="1:42" outlineLevel="2" x14ac:dyDescent="0.2">
      <c r="A113" s="1075">
        <v>506</v>
      </c>
      <c r="B113" s="1078">
        <v>2815747</v>
      </c>
      <c r="C113" s="1075">
        <v>28157477</v>
      </c>
      <c r="D113" s="1075" t="s">
        <v>2143</v>
      </c>
      <c r="E113" s="1075" t="s">
        <v>2144</v>
      </c>
      <c r="F113" s="1075">
        <v>812300</v>
      </c>
      <c r="G113" s="1075" t="s">
        <v>2107</v>
      </c>
      <c r="H113" s="1075">
        <v>90534</v>
      </c>
      <c r="I113" s="1075">
        <v>0</v>
      </c>
      <c r="J113" s="1075">
        <v>5</v>
      </c>
      <c r="K113" s="1075">
        <v>6</v>
      </c>
      <c r="L113" s="1075">
        <v>0</v>
      </c>
      <c r="M113" s="1075" t="s">
        <v>3136</v>
      </c>
      <c r="N113" s="1075" t="s">
        <v>1489</v>
      </c>
      <c r="O113" s="1077">
        <f t="shared" si="48"/>
        <v>0.6</v>
      </c>
      <c r="P113" s="1075">
        <v>60</v>
      </c>
      <c r="Q113" s="1074">
        <v>4486.43</v>
      </c>
      <c r="R113" s="1074">
        <v>701.05</v>
      </c>
      <c r="S113" s="1074">
        <v>117.71</v>
      </c>
      <c r="T113" s="1074">
        <v>3411.77</v>
      </c>
      <c r="U113" s="1074">
        <v>0</v>
      </c>
      <c r="V113" s="1074">
        <v>0</v>
      </c>
      <c r="W113" s="1074">
        <v>0</v>
      </c>
      <c r="X113" s="1074">
        <v>0</v>
      </c>
      <c r="Y113" s="1074">
        <v>96.6</v>
      </c>
      <c r="Z113" s="1074">
        <v>0</v>
      </c>
      <c r="AA113" s="1074">
        <v>3315.17</v>
      </c>
      <c r="AB113" s="1074">
        <v>255.9</v>
      </c>
      <c r="AC113" s="1074">
        <v>0</v>
      </c>
      <c r="AD113" s="1074">
        <v>0</v>
      </c>
      <c r="AE113" s="1074">
        <v>1812300</v>
      </c>
      <c r="AF113" s="1074" t="s">
        <v>251</v>
      </c>
      <c r="AG113" s="1095">
        <f>VLOOKUP(B113,עזר!A$2:B$329,2,FALSE)</f>
        <v>46425.57</v>
      </c>
      <c r="AH113" s="1074">
        <f t="shared" si="49"/>
        <v>13459.29</v>
      </c>
      <c r="AI113" s="1074">
        <f t="shared" si="50"/>
        <v>59884.86</v>
      </c>
      <c r="AJ113" s="1077">
        <f>VLOOKUP(B113,Sheet1!D$2:K$430,7,FALSE)</f>
        <v>0.6</v>
      </c>
      <c r="AK113" s="1074">
        <f>VLOOKUP(B113,Sheet1!D$2:L$430,8,FALSE)</f>
        <v>57285</v>
      </c>
      <c r="AL113" s="1109">
        <f t="shared" si="51"/>
        <v>0.6</v>
      </c>
      <c r="AM113" s="1074">
        <f t="shared" si="52"/>
        <v>61082.557200000003</v>
      </c>
      <c r="AN113" s="1085">
        <f t="shared" si="53"/>
        <v>0.6</v>
      </c>
      <c r="AO113" s="1074">
        <f t="shared" si="54"/>
        <v>61082.557200000003</v>
      </c>
      <c r="AP113" s="1080"/>
    </row>
    <row r="114" spans="1:42" outlineLevel="2" x14ac:dyDescent="0.2">
      <c r="A114" s="1075">
        <v>506</v>
      </c>
      <c r="B114" s="1078">
        <v>2823141</v>
      </c>
      <c r="C114" s="1075">
        <v>28231413</v>
      </c>
      <c r="D114" s="1075" t="s">
        <v>1531</v>
      </c>
      <c r="E114" s="1075" t="s">
        <v>2145</v>
      </c>
      <c r="F114" s="1075">
        <v>812300</v>
      </c>
      <c r="G114" s="1075" t="s">
        <v>2107</v>
      </c>
      <c r="H114" s="1075">
        <v>90534</v>
      </c>
      <c r="I114" s="1075">
        <v>0</v>
      </c>
      <c r="J114" s="1075">
        <v>5</v>
      </c>
      <c r="K114" s="1075">
        <v>6</v>
      </c>
      <c r="L114" s="1075">
        <v>0</v>
      </c>
      <c r="M114" s="1075" t="s">
        <v>3136</v>
      </c>
      <c r="N114" s="1075" t="s">
        <v>1489</v>
      </c>
      <c r="O114" s="1077">
        <f t="shared" si="48"/>
        <v>0.83</v>
      </c>
      <c r="P114" s="1075">
        <v>83</v>
      </c>
      <c r="Q114" s="1074">
        <v>6642.81</v>
      </c>
      <c r="R114" s="1074">
        <v>1042.05</v>
      </c>
      <c r="S114" s="1074">
        <v>174.16</v>
      </c>
      <c r="T114" s="1074">
        <v>5048</v>
      </c>
      <c r="U114" s="1074">
        <v>0</v>
      </c>
      <c r="V114" s="1074">
        <v>0</v>
      </c>
      <c r="W114" s="1074">
        <v>0</v>
      </c>
      <c r="X114" s="1074">
        <v>0</v>
      </c>
      <c r="Y114" s="1074">
        <v>112.75</v>
      </c>
      <c r="Z114" s="1074">
        <v>0</v>
      </c>
      <c r="AA114" s="1074">
        <v>4935.25</v>
      </c>
      <c r="AB114" s="1074">
        <v>378.6</v>
      </c>
      <c r="AC114" s="1074">
        <v>0</v>
      </c>
      <c r="AD114" s="1074">
        <v>0</v>
      </c>
      <c r="AE114" s="1074">
        <v>1812300</v>
      </c>
      <c r="AF114" s="1074" t="s">
        <v>251</v>
      </c>
      <c r="AG114" s="1095">
        <f>VLOOKUP(B114,עזר!A$2:B$329,2,FALSE)</f>
        <v>67848.009999999995</v>
      </c>
      <c r="AH114" s="1074">
        <f t="shared" si="49"/>
        <v>19928.43</v>
      </c>
      <c r="AI114" s="1074">
        <f t="shared" si="50"/>
        <v>87776.44</v>
      </c>
      <c r="AJ114" s="1077">
        <f>VLOOKUP(B114,Sheet1!D$2:K$430,7,FALSE)</f>
        <v>0.83</v>
      </c>
      <c r="AK114" s="1074">
        <f>VLOOKUP(B114,Sheet1!D$2:L$430,8,FALSE)</f>
        <v>81310</v>
      </c>
      <c r="AL114" s="1109">
        <f t="shared" si="51"/>
        <v>0.83</v>
      </c>
      <c r="AM114" s="1074">
        <f t="shared" si="52"/>
        <v>89531.968800000002</v>
      </c>
      <c r="AN114" s="1085">
        <f t="shared" si="53"/>
        <v>0.83</v>
      </c>
      <c r="AO114" s="1074">
        <f t="shared" si="54"/>
        <v>89531.968800000002</v>
      </c>
      <c r="AP114" s="1080"/>
    </row>
    <row r="115" spans="1:42" outlineLevel="2" x14ac:dyDescent="0.2">
      <c r="A115" s="1075">
        <v>506</v>
      </c>
      <c r="B115" s="1078">
        <v>2827538</v>
      </c>
      <c r="C115" s="1075">
        <v>28275386</v>
      </c>
      <c r="D115" s="1075" t="s">
        <v>1709</v>
      </c>
      <c r="E115" s="1075" t="s">
        <v>2146</v>
      </c>
      <c r="F115" s="1075">
        <v>812300</v>
      </c>
      <c r="G115" s="1075" t="s">
        <v>2107</v>
      </c>
      <c r="H115" s="1075">
        <v>90534</v>
      </c>
      <c r="I115" s="1075">
        <v>0</v>
      </c>
      <c r="J115" s="1075">
        <v>5</v>
      </c>
      <c r="K115" s="1075">
        <v>37</v>
      </c>
      <c r="L115" s="1075">
        <v>0</v>
      </c>
      <c r="M115" s="1075" t="s">
        <v>3136</v>
      </c>
      <c r="N115" s="1075" t="s">
        <v>1489</v>
      </c>
      <c r="O115" s="1077">
        <f t="shared" si="48"/>
        <v>0.83</v>
      </c>
      <c r="P115" s="1075">
        <v>83</v>
      </c>
      <c r="Q115" s="1074">
        <v>8100.06</v>
      </c>
      <c r="R115" s="1074">
        <v>1394.85</v>
      </c>
      <c r="S115" s="1074">
        <v>220.98</v>
      </c>
      <c r="T115" s="1074">
        <v>6028.18</v>
      </c>
      <c r="U115" s="1074">
        <v>0</v>
      </c>
      <c r="V115" s="1074">
        <v>0</v>
      </c>
      <c r="W115" s="1074">
        <v>0</v>
      </c>
      <c r="X115" s="1074">
        <v>0</v>
      </c>
      <c r="Y115" s="1074">
        <v>117.8</v>
      </c>
      <c r="Z115" s="1074">
        <v>0</v>
      </c>
      <c r="AA115" s="1074">
        <v>5910.38</v>
      </c>
      <c r="AB115" s="1074">
        <v>456.05</v>
      </c>
      <c r="AC115" s="1074">
        <v>0</v>
      </c>
      <c r="AD115" s="1074">
        <v>0</v>
      </c>
      <c r="AE115" s="1074">
        <v>1812300</v>
      </c>
      <c r="AF115" s="1074" t="s">
        <v>251</v>
      </c>
      <c r="AG115" s="1095">
        <f>VLOOKUP(B115,עזר!A$2:B$329,2,FALSE)</f>
        <v>82133.459999999992</v>
      </c>
      <c r="AH115" s="1074">
        <f t="shared" si="49"/>
        <v>24300.18</v>
      </c>
      <c r="AI115" s="1074">
        <f t="shared" si="50"/>
        <v>106433.63999999998</v>
      </c>
      <c r="AJ115" s="1077">
        <f>VLOOKUP(B115,Sheet1!D$2:K$430,7,FALSE)</f>
        <v>0.83</v>
      </c>
      <c r="AK115" s="1074">
        <f>VLOOKUP(B115,Sheet1!D$2:L$430,8,FALSE)</f>
        <v>100973</v>
      </c>
      <c r="AL115" s="1109">
        <f t="shared" si="51"/>
        <v>0.83</v>
      </c>
      <c r="AM115" s="1074">
        <f t="shared" si="52"/>
        <v>108562.31279999999</v>
      </c>
      <c r="AN115" s="1085">
        <f t="shared" si="53"/>
        <v>0.83</v>
      </c>
      <c r="AO115" s="1074">
        <f t="shared" si="54"/>
        <v>108562.31279999999</v>
      </c>
      <c r="AP115" s="1080"/>
    </row>
    <row r="116" spans="1:42" outlineLevel="2" x14ac:dyDescent="0.2">
      <c r="A116" s="1075">
        <v>506</v>
      </c>
      <c r="B116" s="1078">
        <v>3443238</v>
      </c>
      <c r="C116" s="1075">
        <v>34432385</v>
      </c>
      <c r="D116" s="1075" t="s">
        <v>1419</v>
      </c>
      <c r="E116" s="1075" t="s">
        <v>2116</v>
      </c>
      <c r="F116" s="1075">
        <v>812300</v>
      </c>
      <c r="G116" s="1075" t="s">
        <v>2107</v>
      </c>
      <c r="H116" s="1075">
        <v>90534</v>
      </c>
      <c r="I116" s="1075">
        <v>1</v>
      </c>
      <c r="J116" s="1075">
        <v>0</v>
      </c>
      <c r="K116" s="1075">
        <v>0</v>
      </c>
      <c r="L116" s="1075">
        <v>0</v>
      </c>
      <c r="M116" s="1094" t="s">
        <v>3136</v>
      </c>
      <c r="N116" s="1075" t="s">
        <v>1489</v>
      </c>
      <c r="O116" s="1077">
        <f t="shared" si="48"/>
        <v>0</v>
      </c>
      <c r="P116" s="1075">
        <v>0</v>
      </c>
      <c r="Q116" s="1074">
        <v>85.93</v>
      </c>
      <c r="R116" s="1074">
        <v>0</v>
      </c>
      <c r="S116" s="1074">
        <v>2.67</v>
      </c>
      <c r="T116" s="1074">
        <v>77.45</v>
      </c>
      <c r="U116" s="1074">
        <v>0</v>
      </c>
      <c r="V116" s="1074">
        <v>0</v>
      </c>
      <c r="W116" s="1074">
        <v>0</v>
      </c>
      <c r="X116" s="1074">
        <v>0</v>
      </c>
      <c r="Y116" s="1074">
        <v>77.45</v>
      </c>
      <c r="Z116" s="1074">
        <v>0</v>
      </c>
      <c r="AA116" s="1074">
        <v>0</v>
      </c>
      <c r="AB116" s="1074">
        <v>5.81</v>
      </c>
      <c r="AC116" s="1074">
        <v>0</v>
      </c>
      <c r="AD116" s="1074">
        <v>0</v>
      </c>
      <c r="AE116" s="1074">
        <v>1812300</v>
      </c>
      <c r="AF116" s="1074" t="s">
        <v>251</v>
      </c>
      <c r="AG116" s="1095">
        <v>0</v>
      </c>
      <c r="AH116" s="1074">
        <f t="shared" si="49"/>
        <v>257.79000000000002</v>
      </c>
      <c r="AI116" s="1074">
        <f t="shared" si="50"/>
        <v>257.79000000000002</v>
      </c>
      <c r="AJ116" s="1077">
        <f>VLOOKUP(B116,Sheet1!D$2:K$430,7,FALSE)</f>
        <v>0.83</v>
      </c>
      <c r="AK116" s="1074">
        <f>VLOOKUP(B116,Sheet1!D$2:L$430,8,FALSE)</f>
        <v>57554</v>
      </c>
      <c r="AL116" s="1109">
        <f t="shared" si="51"/>
        <v>0</v>
      </c>
      <c r="AM116" s="1074">
        <v>0</v>
      </c>
      <c r="AN116" s="1085">
        <f t="shared" si="53"/>
        <v>0</v>
      </c>
      <c r="AO116" s="1074">
        <f t="shared" si="54"/>
        <v>0</v>
      </c>
      <c r="AP116" s="1080"/>
    </row>
    <row r="117" spans="1:42" outlineLevel="2" x14ac:dyDescent="0.2">
      <c r="A117" s="1075">
        <v>506</v>
      </c>
      <c r="B117" s="1078">
        <v>3945702</v>
      </c>
      <c r="C117" s="1075">
        <v>39457023</v>
      </c>
      <c r="D117" s="1075" t="s">
        <v>2138</v>
      </c>
      <c r="E117" s="1075" t="s">
        <v>2148</v>
      </c>
      <c r="F117" s="1075">
        <v>812300</v>
      </c>
      <c r="G117" s="1075" t="s">
        <v>2107</v>
      </c>
      <c r="H117" s="1075">
        <v>90534</v>
      </c>
      <c r="I117" s="1075">
        <v>0</v>
      </c>
      <c r="J117" s="1075">
        <v>5</v>
      </c>
      <c r="K117" s="1075">
        <v>4</v>
      </c>
      <c r="L117" s="1075">
        <v>0</v>
      </c>
      <c r="M117" s="1094" t="s">
        <v>3136</v>
      </c>
      <c r="N117" s="1075" t="s">
        <v>1489</v>
      </c>
      <c r="O117" s="1077">
        <f t="shared" si="48"/>
        <v>0.83</v>
      </c>
      <c r="P117" s="1075">
        <v>83</v>
      </c>
      <c r="Q117" s="1074">
        <v>6301.79</v>
      </c>
      <c r="R117" s="1074">
        <v>954.3</v>
      </c>
      <c r="S117" s="1074">
        <v>166.28</v>
      </c>
      <c r="T117" s="1074">
        <v>4819.71</v>
      </c>
      <c r="U117" s="1074">
        <v>258.95</v>
      </c>
      <c r="V117" s="1074">
        <v>0</v>
      </c>
      <c r="W117" s="1074">
        <v>0</v>
      </c>
      <c r="X117" s="1074">
        <v>0</v>
      </c>
      <c r="Y117" s="1074">
        <v>102.65</v>
      </c>
      <c r="Z117" s="1074">
        <v>0</v>
      </c>
      <c r="AA117" s="1074">
        <v>4458.1099999999997</v>
      </c>
      <c r="AB117" s="1074">
        <v>361.5</v>
      </c>
      <c r="AC117" s="1074">
        <v>0</v>
      </c>
      <c r="AD117" s="1074">
        <v>0</v>
      </c>
      <c r="AE117" s="1074">
        <v>1812300</v>
      </c>
      <c r="AF117" s="1074" t="s">
        <v>251</v>
      </c>
      <c r="AG117" s="1095">
        <f>VLOOKUP(B117,עזר!A$2:B$329,2,FALSE)</f>
        <v>60101.24</v>
      </c>
      <c r="AH117" s="1074">
        <f t="shared" si="49"/>
        <v>18905.37</v>
      </c>
      <c r="AI117" s="1074">
        <f t="shared" si="50"/>
        <v>79006.61</v>
      </c>
      <c r="AJ117" s="1077">
        <f>VLOOKUP(B117,Sheet1!D$2:K$430,7,FALSE)</f>
        <v>0.82352941176470584</v>
      </c>
      <c r="AK117" s="1074">
        <f>VLOOKUP(B117,Sheet1!D$2:L$430,8,FALSE)</f>
        <v>38388</v>
      </c>
      <c r="AL117" s="1109">
        <f t="shared" si="51"/>
        <v>0.83</v>
      </c>
      <c r="AM117" s="1074">
        <f>AI117*1.02</f>
        <v>80586.742200000008</v>
      </c>
      <c r="AN117" s="1085">
        <f t="shared" si="53"/>
        <v>0.83</v>
      </c>
      <c r="AO117" s="1074">
        <f t="shared" si="54"/>
        <v>80586.742200000008</v>
      </c>
      <c r="AP117" s="1080"/>
    </row>
    <row r="118" spans="1:42" outlineLevel="2" x14ac:dyDescent="0.2">
      <c r="A118" s="1075">
        <v>506</v>
      </c>
      <c r="B118" s="1078">
        <v>5631585</v>
      </c>
      <c r="C118" s="1075">
        <v>56315856</v>
      </c>
      <c r="D118" s="1075" t="s">
        <v>2123</v>
      </c>
      <c r="E118" s="1075" t="s">
        <v>2124</v>
      </c>
      <c r="F118" s="1075">
        <v>812300</v>
      </c>
      <c r="G118" s="1075" t="s">
        <v>2107</v>
      </c>
      <c r="H118" s="1075">
        <v>90534</v>
      </c>
      <c r="I118" s="1075">
        <v>0</v>
      </c>
      <c r="J118" s="1075">
        <v>5</v>
      </c>
      <c r="K118" s="1075">
        <v>37</v>
      </c>
      <c r="L118" s="1075">
        <v>0</v>
      </c>
      <c r="M118" s="1094" t="s">
        <v>3136</v>
      </c>
      <c r="N118" s="1075" t="s">
        <v>1489</v>
      </c>
      <c r="O118" s="1077">
        <f t="shared" si="48"/>
        <v>0.83</v>
      </c>
      <c r="P118" s="1075">
        <v>83</v>
      </c>
      <c r="Q118" s="1074">
        <v>7603.03</v>
      </c>
      <c r="R118" s="1074">
        <v>614.5</v>
      </c>
      <c r="S118" s="1074">
        <v>319.47000000000003</v>
      </c>
      <c r="T118" s="1074">
        <v>6203.85</v>
      </c>
      <c r="U118" s="1074">
        <v>0</v>
      </c>
      <c r="V118" s="1074">
        <v>0</v>
      </c>
      <c r="W118" s="1074">
        <v>0</v>
      </c>
      <c r="X118" s="1074">
        <v>0</v>
      </c>
      <c r="Y118" s="1074">
        <v>117.8</v>
      </c>
      <c r="Z118" s="1074">
        <v>0</v>
      </c>
      <c r="AA118" s="1074">
        <v>6086.05</v>
      </c>
      <c r="AB118" s="1074">
        <v>465.21</v>
      </c>
      <c r="AC118" s="1074">
        <v>0</v>
      </c>
      <c r="AD118" s="1074">
        <v>0</v>
      </c>
      <c r="AE118" s="1074">
        <v>1812300</v>
      </c>
      <c r="AF118" s="1074" t="s">
        <v>251</v>
      </c>
      <c r="AG118" s="1095">
        <v>0</v>
      </c>
      <c r="AH118" s="1074">
        <f t="shared" si="49"/>
        <v>22809.09</v>
      </c>
      <c r="AI118" s="1074">
        <f t="shared" si="50"/>
        <v>22809.09</v>
      </c>
      <c r="AJ118" s="1077">
        <f>VLOOKUP(B118,Sheet1!D$2:K$430,7,FALSE)</f>
        <v>0.83</v>
      </c>
      <c r="AK118" s="1074">
        <f>VLOOKUP(B118,Sheet1!D$2:L$430,8,FALSE)</f>
        <v>96740</v>
      </c>
      <c r="AL118" s="1109">
        <v>0</v>
      </c>
      <c r="AM118" s="1074">
        <v>0</v>
      </c>
      <c r="AN118" s="1085">
        <f t="shared" si="53"/>
        <v>0</v>
      </c>
      <c r="AO118" s="1074">
        <f t="shared" si="54"/>
        <v>0</v>
      </c>
      <c r="AP118" s="1080"/>
    </row>
    <row r="119" spans="1:42" outlineLevel="2" x14ac:dyDescent="0.2">
      <c r="A119" s="1075">
        <v>506</v>
      </c>
      <c r="B119" s="1078">
        <v>5698805</v>
      </c>
      <c r="C119" s="1075">
        <v>56988058</v>
      </c>
      <c r="D119" s="1075" t="s">
        <v>2149</v>
      </c>
      <c r="E119" s="1075" t="s">
        <v>2150</v>
      </c>
      <c r="F119" s="1075">
        <v>812300</v>
      </c>
      <c r="G119" s="1075" t="s">
        <v>2107</v>
      </c>
      <c r="H119" s="1075">
        <v>90534</v>
      </c>
      <c r="I119" s="1075">
        <v>0</v>
      </c>
      <c r="J119" s="1075">
        <v>5</v>
      </c>
      <c r="K119" s="1075">
        <v>37</v>
      </c>
      <c r="L119" s="1075">
        <v>0</v>
      </c>
      <c r="M119" s="1094" t="s">
        <v>3136</v>
      </c>
      <c r="N119" s="1075" t="s">
        <v>1489</v>
      </c>
      <c r="O119" s="1077">
        <f t="shared" si="48"/>
        <v>0.83</v>
      </c>
      <c r="P119" s="1075">
        <v>83</v>
      </c>
      <c r="Q119" s="1074">
        <v>7733.03</v>
      </c>
      <c r="R119" s="1074">
        <v>635.6</v>
      </c>
      <c r="S119" s="1074">
        <v>243.15</v>
      </c>
      <c r="T119" s="1074">
        <v>6376.08</v>
      </c>
      <c r="U119" s="1074">
        <v>0</v>
      </c>
      <c r="V119" s="1074">
        <v>0</v>
      </c>
      <c r="W119" s="1074">
        <v>0</v>
      </c>
      <c r="X119" s="1074">
        <v>0</v>
      </c>
      <c r="Y119" s="1074">
        <v>40.35</v>
      </c>
      <c r="Z119" s="1074">
        <v>0</v>
      </c>
      <c r="AA119" s="1074">
        <v>6335.73</v>
      </c>
      <c r="AB119" s="1074">
        <v>478.2</v>
      </c>
      <c r="AC119" s="1074">
        <v>0</v>
      </c>
      <c r="AD119" s="1074">
        <v>0</v>
      </c>
      <c r="AE119" s="1074">
        <v>1812300</v>
      </c>
      <c r="AF119" s="1074" t="s">
        <v>251</v>
      </c>
      <c r="AG119" s="1095">
        <f>VLOOKUP(B119,עזר!A$2:B$329,2,FALSE)</f>
        <v>77036.7</v>
      </c>
      <c r="AH119" s="1074">
        <f t="shared" si="49"/>
        <v>23199.09</v>
      </c>
      <c r="AI119" s="1074">
        <f t="shared" si="50"/>
        <v>100235.79</v>
      </c>
      <c r="AJ119" s="1077">
        <f>VLOOKUP(B119,Sheet1!D$2:K$430,7,FALSE)</f>
        <v>0.83</v>
      </c>
      <c r="AK119" s="1074">
        <f>VLOOKUP(B119,Sheet1!D$2:L$430,8,FALSE)</f>
        <v>93716</v>
      </c>
      <c r="AL119" s="1109">
        <f t="shared" si="51"/>
        <v>0.83</v>
      </c>
      <c r="AM119" s="1074">
        <f>AI119*1.02</f>
        <v>102240.5058</v>
      </c>
      <c r="AN119" s="1085">
        <f t="shared" si="53"/>
        <v>0.83</v>
      </c>
      <c r="AO119" s="1074">
        <f t="shared" si="54"/>
        <v>102240.5058</v>
      </c>
      <c r="AP119" s="1080"/>
    </row>
    <row r="120" spans="1:42" outlineLevel="2" x14ac:dyDescent="0.2">
      <c r="A120" s="1075">
        <v>506</v>
      </c>
      <c r="B120" s="1078">
        <v>5859254</v>
      </c>
      <c r="C120" s="1075">
        <v>58592544</v>
      </c>
      <c r="D120" s="1075" t="s">
        <v>1419</v>
      </c>
      <c r="E120" s="1075" t="s">
        <v>2151</v>
      </c>
      <c r="F120" s="1075">
        <v>812300</v>
      </c>
      <c r="G120" s="1075" t="s">
        <v>2107</v>
      </c>
      <c r="H120" s="1075">
        <v>90534</v>
      </c>
      <c r="I120" s="1075">
        <v>0</v>
      </c>
      <c r="J120" s="1075">
        <v>5</v>
      </c>
      <c r="K120" s="1075">
        <v>5</v>
      </c>
      <c r="L120" s="1075">
        <v>0</v>
      </c>
      <c r="M120" s="1094" t="s">
        <v>3136</v>
      </c>
      <c r="N120" s="1075" t="s">
        <v>1489</v>
      </c>
      <c r="O120" s="1077">
        <f t="shared" si="48"/>
        <v>0.83</v>
      </c>
      <c r="P120" s="1075">
        <v>83</v>
      </c>
      <c r="Q120" s="1074">
        <v>6233.24</v>
      </c>
      <c r="R120" s="1074">
        <v>973.65</v>
      </c>
      <c r="S120" s="1074">
        <v>163.55000000000001</v>
      </c>
      <c r="T120" s="1074">
        <v>4740.49</v>
      </c>
      <c r="U120" s="1074">
        <v>0</v>
      </c>
      <c r="V120" s="1074">
        <v>0</v>
      </c>
      <c r="W120" s="1074">
        <v>0</v>
      </c>
      <c r="X120" s="1074">
        <v>0</v>
      </c>
      <c r="Y120" s="1074">
        <v>136.75</v>
      </c>
      <c r="Z120" s="1074">
        <v>0</v>
      </c>
      <c r="AA120" s="1074">
        <v>4603.74</v>
      </c>
      <c r="AB120" s="1074">
        <v>355.55</v>
      </c>
      <c r="AC120" s="1074">
        <v>0</v>
      </c>
      <c r="AD120" s="1074">
        <v>0</v>
      </c>
      <c r="AE120" s="1074">
        <v>1812300</v>
      </c>
      <c r="AF120" s="1074" t="s">
        <v>251</v>
      </c>
      <c r="AG120" s="1095">
        <f>VLOOKUP(B120,עזר!A$2:B$329,2,FALSE)</f>
        <v>65212.57</v>
      </c>
      <c r="AH120" s="1074">
        <f t="shared" si="49"/>
        <v>18699.72</v>
      </c>
      <c r="AI120" s="1074">
        <f t="shared" si="50"/>
        <v>83912.290000000008</v>
      </c>
      <c r="AJ120" s="1077">
        <f>VLOOKUP(B120,Sheet1!D$2:K$430,7,FALSE)</f>
        <v>0.83</v>
      </c>
      <c r="AK120" s="1074">
        <f>VLOOKUP(B120,Sheet1!D$2:L$430,8,FALSE)</f>
        <v>79638</v>
      </c>
      <c r="AL120" s="1109">
        <f t="shared" si="51"/>
        <v>0.83</v>
      </c>
      <c r="AM120" s="1074">
        <f>AI120*1.02</f>
        <v>85590.535800000012</v>
      </c>
      <c r="AN120" s="1085">
        <f t="shared" si="53"/>
        <v>0.83</v>
      </c>
      <c r="AO120" s="1074">
        <f t="shared" si="54"/>
        <v>85590.535800000012</v>
      </c>
      <c r="AP120" s="1080"/>
    </row>
    <row r="121" spans="1:42" outlineLevel="2" x14ac:dyDescent="0.2">
      <c r="A121" s="1075">
        <v>506</v>
      </c>
      <c r="B121" s="1078">
        <v>30305092</v>
      </c>
      <c r="C121" s="1075">
        <v>303050926</v>
      </c>
      <c r="D121" s="1075" t="s">
        <v>2131</v>
      </c>
      <c r="E121" s="1075" t="s">
        <v>2152</v>
      </c>
      <c r="F121" s="1075">
        <v>812300</v>
      </c>
      <c r="G121" s="1075" t="s">
        <v>2107</v>
      </c>
      <c r="H121" s="1075">
        <v>90534</v>
      </c>
      <c r="I121" s="1075">
        <v>1</v>
      </c>
      <c r="J121" s="1075">
        <v>0</v>
      </c>
      <c r="K121" s="1075">
        <v>0</v>
      </c>
      <c r="L121" s="1075">
        <v>0</v>
      </c>
      <c r="M121" s="1094" t="s">
        <v>3136</v>
      </c>
      <c r="N121" s="1075" t="s">
        <v>1489</v>
      </c>
      <c r="O121" s="1077">
        <f t="shared" si="48"/>
        <v>0</v>
      </c>
      <c r="P121" s="1075">
        <v>0</v>
      </c>
      <c r="Q121" s="1074">
        <v>3207.13</v>
      </c>
      <c r="R121" s="1074">
        <v>496.75</v>
      </c>
      <c r="S121" s="1074">
        <v>84.28</v>
      </c>
      <c r="T121" s="1074">
        <v>2442.9</v>
      </c>
      <c r="U121" s="1074">
        <v>0</v>
      </c>
      <c r="V121" s="1074">
        <v>0</v>
      </c>
      <c r="W121" s="1074">
        <v>0</v>
      </c>
      <c r="X121" s="1074">
        <v>0</v>
      </c>
      <c r="Y121" s="1074">
        <v>77.45</v>
      </c>
      <c r="Z121" s="1074">
        <v>0</v>
      </c>
      <c r="AA121" s="1074">
        <v>2365.4499999999998</v>
      </c>
      <c r="AB121" s="1074">
        <v>183.2</v>
      </c>
      <c r="AC121" s="1074">
        <v>0</v>
      </c>
      <c r="AD121" s="1074">
        <v>0</v>
      </c>
      <c r="AE121" s="1074">
        <v>1812300</v>
      </c>
      <c r="AF121" s="1074" t="s">
        <v>251</v>
      </c>
      <c r="AG121" s="1095">
        <f>VLOOKUP(B121,עזר!A$2:B$329,2,FALSE)</f>
        <v>35359.339999999997</v>
      </c>
      <c r="AH121" s="1074">
        <f t="shared" si="49"/>
        <v>9621.39</v>
      </c>
      <c r="AI121" s="1074">
        <f t="shared" si="50"/>
        <v>44980.729999999996</v>
      </c>
      <c r="AJ121" s="1077">
        <f>VLOOKUP(B121,Sheet1!D$2:K$430,7,FALSE)</f>
        <v>0.52</v>
      </c>
      <c r="AK121" s="1074">
        <f>VLOOKUP(B121,Sheet1!D$2:L$430,8,FALSE)</f>
        <v>45000</v>
      </c>
      <c r="AL121" s="1109">
        <f t="shared" si="51"/>
        <v>0</v>
      </c>
      <c r="AM121" s="1074">
        <f>AI121*1.02</f>
        <v>45880.344599999997</v>
      </c>
      <c r="AN121" s="1085">
        <f t="shared" si="53"/>
        <v>0</v>
      </c>
      <c r="AO121" s="1074">
        <f t="shared" si="54"/>
        <v>45880.344599999997</v>
      </c>
      <c r="AP121" s="1080"/>
    </row>
    <row r="122" spans="1:42" outlineLevel="1" x14ac:dyDescent="0.2">
      <c r="B122" s="1078"/>
      <c r="F122" s="1088" t="s">
        <v>3098</v>
      </c>
      <c r="M122" s="1094"/>
      <c r="O122" s="1077">
        <f>SUBTOTAL(9,O109:O121)</f>
        <v>7.24</v>
      </c>
      <c r="Q122" s="1074">
        <f>SUBTOTAL(9,Q109:Q121)</f>
        <v>71076.77</v>
      </c>
      <c r="R122" s="1074"/>
      <c r="S122" s="1074"/>
      <c r="T122" s="1074"/>
      <c r="U122" s="1074"/>
      <c r="V122" s="1074"/>
      <c r="W122" s="1074"/>
      <c r="X122" s="1074"/>
      <c r="Y122" s="1074"/>
      <c r="Z122" s="1074"/>
      <c r="AA122" s="1074"/>
      <c r="AB122" s="1074"/>
      <c r="AC122" s="1074"/>
      <c r="AD122" s="1074"/>
      <c r="AE122" s="1074"/>
      <c r="AF122" s="1074"/>
      <c r="AG122" s="1095">
        <f t="shared" ref="AG122:AM122" si="55">SUBTOTAL(9,AG109:AG121)</f>
        <v>693950.3899999999</v>
      </c>
      <c r="AH122" s="1074">
        <f t="shared" si="55"/>
        <v>213230.31</v>
      </c>
      <c r="AI122" s="1074">
        <f t="shared" si="55"/>
        <v>907180.70000000007</v>
      </c>
      <c r="AJ122" s="1077">
        <f t="shared" si="55"/>
        <v>9.4135294117647046</v>
      </c>
      <c r="AK122" s="1074">
        <f t="shared" si="55"/>
        <v>889682</v>
      </c>
      <c r="AL122" s="1109">
        <f t="shared" si="55"/>
        <v>7.24</v>
      </c>
      <c r="AM122" s="1074">
        <f t="shared" si="55"/>
        <v>925061.09639999992</v>
      </c>
      <c r="AP122" s="1080">
        <f>SUBTOTAL(9,AP109:AP121)</f>
        <v>0</v>
      </c>
    </row>
    <row r="123" spans="1:42" outlineLevel="2" x14ac:dyDescent="0.2">
      <c r="A123" s="1075">
        <v>506</v>
      </c>
      <c r="B123" s="1078">
        <v>2616472</v>
      </c>
      <c r="C123" s="1075">
        <v>26164723</v>
      </c>
      <c r="D123" s="1075" t="s">
        <v>2108</v>
      </c>
      <c r="E123" s="1075" t="s">
        <v>2109</v>
      </c>
      <c r="F123" s="1075">
        <v>812301</v>
      </c>
      <c r="G123" s="1075" t="s">
        <v>2107</v>
      </c>
      <c r="H123" s="1075">
        <v>90534</v>
      </c>
      <c r="I123" s="1075">
        <v>0</v>
      </c>
      <c r="J123" s="1075">
        <v>5</v>
      </c>
      <c r="K123" s="1075">
        <v>4</v>
      </c>
      <c r="L123" s="1075">
        <v>0</v>
      </c>
      <c r="M123" s="1094" t="s">
        <v>3136</v>
      </c>
      <c r="N123" s="1075" t="s">
        <v>1447</v>
      </c>
      <c r="O123" s="1077">
        <f t="shared" ref="O123:O131" si="56">P123/100</f>
        <v>0.83</v>
      </c>
      <c r="P123" s="1075">
        <v>83</v>
      </c>
      <c r="Q123" s="1074">
        <v>6246.55</v>
      </c>
      <c r="R123" s="1074">
        <v>990.72</v>
      </c>
      <c r="S123" s="1074">
        <v>163.44</v>
      </c>
      <c r="T123" s="1074">
        <v>4737.1000000000004</v>
      </c>
      <c r="U123" s="1074">
        <v>0</v>
      </c>
      <c r="V123" s="1074">
        <v>0</v>
      </c>
      <c r="W123" s="1074">
        <v>0</v>
      </c>
      <c r="X123" s="1074">
        <v>0</v>
      </c>
      <c r="Y123" s="1074">
        <v>25.2</v>
      </c>
      <c r="Z123" s="1074">
        <v>0</v>
      </c>
      <c r="AA123" s="1074">
        <v>4711.8999999999996</v>
      </c>
      <c r="AB123" s="1074">
        <v>355.29</v>
      </c>
      <c r="AC123" s="1074">
        <v>0</v>
      </c>
      <c r="AD123" s="1074">
        <v>0</v>
      </c>
      <c r="AE123" s="1074">
        <v>1812200</v>
      </c>
      <c r="AF123" s="1074" t="s">
        <v>251</v>
      </c>
      <c r="AG123" s="1095">
        <f>VLOOKUP(B123,עזר!A$2:B$329,2,FALSE)</f>
        <v>62306.96</v>
      </c>
      <c r="AH123" s="1074">
        <f t="shared" ref="AH123:AH131" si="57">Q123*3</f>
        <v>18739.650000000001</v>
      </c>
      <c r="AI123" s="1074">
        <f t="shared" ref="AI123:AI131" si="58">AH123+AG123</f>
        <v>81046.61</v>
      </c>
      <c r="AJ123" s="1077">
        <f>VLOOKUP(B123,Sheet1!D$2:K$430,7,FALSE)</f>
        <v>0.82</v>
      </c>
      <c r="AK123" s="1074">
        <f>VLOOKUP(B123,Sheet1!D$2:L$430,8,FALSE)</f>
        <v>55634</v>
      </c>
      <c r="AL123" s="1109">
        <f t="shared" ref="AL123:AL131" si="59">O123</f>
        <v>0.83</v>
      </c>
      <c r="AM123" s="1074">
        <f>AI123*1.02</f>
        <v>82667.542199999996</v>
      </c>
      <c r="AN123" s="1085">
        <f t="shared" ref="AN123:AN131" si="60">AL123</f>
        <v>0.83</v>
      </c>
      <c r="AO123" s="1074">
        <f t="shared" ref="AO123:AO131" si="61">AM123</f>
        <v>82667.542199999996</v>
      </c>
      <c r="AP123" s="1080"/>
    </row>
    <row r="124" spans="1:42" outlineLevel="2" x14ac:dyDescent="0.2">
      <c r="A124" s="1075">
        <v>506</v>
      </c>
      <c r="B124" s="1078">
        <v>3457700</v>
      </c>
      <c r="C124" s="1075">
        <v>34577007</v>
      </c>
      <c r="D124" s="1075" t="s">
        <v>2117</v>
      </c>
      <c r="E124" s="1075" t="s">
        <v>2118</v>
      </c>
      <c r="F124" s="1075">
        <v>812301</v>
      </c>
      <c r="G124" s="1075" t="s">
        <v>2107</v>
      </c>
      <c r="H124" s="1075">
        <v>90534</v>
      </c>
      <c r="I124" s="1075">
        <v>0</v>
      </c>
      <c r="J124" s="1075">
        <v>5</v>
      </c>
      <c r="K124" s="1075">
        <v>4</v>
      </c>
      <c r="L124" s="1075">
        <v>0</v>
      </c>
      <c r="M124" s="1094" t="s">
        <v>3136</v>
      </c>
      <c r="N124" s="1075" t="s">
        <v>1447</v>
      </c>
      <c r="O124" s="1077">
        <f t="shared" si="56"/>
        <v>0.83</v>
      </c>
      <c r="P124" s="1075">
        <v>83</v>
      </c>
      <c r="Q124" s="1074">
        <v>6535.24</v>
      </c>
      <c r="R124" s="1074">
        <v>978.41</v>
      </c>
      <c r="S124" s="1074">
        <v>172.79</v>
      </c>
      <c r="T124" s="1074">
        <v>5008.43</v>
      </c>
      <c r="U124" s="1074">
        <v>433.25</v>
      </c>
      <c r="V124" s="1074">
        <v>0</v>
      </c>
      <c r="W124" s="1074">
        <v>0</v>
      </c>
      <c r="X124" s="1074">
        <v>0</v>
      </c>
      <c r="Y124" s="1074">
        <v>25.2</v>
      </c>
      <c r="Z124" s="1074">
        <v>0</v>
      </c>
      <c r="AA124" s="1074">
        <v>4549.9799999999996</v>
      </c>
      <c r="AB124" s="1074">
        <v>375.61</v>
      </c>
      <c r="AC124" s="1074">
        <v>0</v>
      </c>
      <c r="AD124" s="1074">
        <v>0</v>
      </c>
      <c r="AE124" s="1074">
        <v>1812200</v>
      </c>
      <c r="AF124" s="1074" t="s">
        <v>251</v>
      </c>
      <c r="AG124" s="1095">
        <f>VLOOKUP(B124,עזר!A$2:B$329,2,FALSE)</f>
        <v>28877.93</v>
      </c>
      <c r="AH124" s="1074">
        <f t="shared" si="57"/>
        <v>19605.72</v>
      </c>
      <c r="AI124" s="1074">
        <f t="shared" si="58"/>
        <v>48483.65</v>
      </c>
      <c r="AJ124" s="1077">
        <f>VLOOKUP(B124,Sheet1!D$2:K$430,7,FALSE)</f>
        <v>0.82352941176470584</v>
      </c>
      <c r="AK124" s="1074">
        <f>VLOOKUP(B124,Sheet1!D$2:L$430,8,FALSE)</f>
        <v>33737</v>
      </c>
      <c r="AL124" s="1109">
        <f t="shared" si="59"/>
        <v>0.83</v>
      </c>
      <c r="AM124" s="1074">
        <f>6535*12</f>
        <v>78420</v>
      </c>
      <c r="AN124" s="1085">
        <f t="shared" si="60"/>
        <v>0.83</v>
      </c>
      <c r="AO124" s="1074">
        <f t="shared" si="61"/>
        <v>78420</v>
      </c>
      <c r="AP124" s="1080"/>
    </row>
    <row r="125" spans="1:42" outlineLevel="2" x14ac:dyDescent="0.2">
      <c r="A125" s="1075">
        <v>506</v>
      </c>
      <c r="B125" s="1078">
        <v>4052129</v>
      </c>
      <c r="C125" s="1075">
        <v>40521296</v>
      </c>
      <c r="D125" s="1075" t="s">
        <v>2119</v>
      </c>
      <c r="E125" s="1075" t="s">
        <v>2120</v>
      </c>
      <c r="F125" s="1075">
        <v>812301</v>
      </c>
      <c r="G125" s="1075" t="s">
        <v>2107</v>
      </c>
      <c r="H125" s="1075">
        <v>90534</v>
      </c>
      <c r="I125" s="1075">
        <v>0</v>
      </c>
      <c r="J125" s="1075">
        <v>5</v>
      </c>
      <c r="K125" s="1075">
        <v>4</v>
      </c>
      <c r="L125" s="1075">
        <v>0</v>
      </c>
      <c r="M125" s="1094" t="s">
        <v>3136</v>
      </c>
      <c r="N125" s="1075" t="s">
        <v>1447</v>
      </c>
      <c r="O125" s="1077">
        <f t="shared" si="56"/>
        <v>0.83</v>
      </c>
      <c r="P125" s="1075">
        <v>83</v>
      </c>
      <c r="Q125" s="1074">
        <v>6662.67</v>
      </c>
      <c r="R125" s="1074">
        <v>1010.45</v>
      </c>
      <c r="S125" s="1074">
        <v>175.76</v>
      </c>
      <c r="T125" s="1074">
        <v>5094.3599999999997</v>
      </c>
      <c r="U125" s="1074">
        <v>258.95</v>
      </c>
      <c r="V125" s="1074">
        <v>0</v>
      </c>
      <c r="W125" s="1074">
        <v>0</v>
      </c>
      <c r="X125" s="1074">
        <v>0</v>
      </c>
      <c r="Y125" s="1074">
        <v>112.35</v>
      </c>
      <c r="Z125" s="1074">
        <v>0</v>
      </c>
      <c r="AA125" s="1074">
        <v>4723.0600000000004</v>
      </c>
      <c r="AB125" s="1074">
        <v>382.1</v>
      </c>
      <c r="AC125" s="1074">
        <v>0</v>
      </c>
      <c r="AD125" s="1074">
        <v>0</v>
      </c>
      <c r="AE125" s="1074">
        <v>1812200</v>
      </c>
      <c r="AF125" s="1074" t="s">
        <v>251</v>
      </c>
      <c r="AG125" s="1095">
        <f>VLOOKUP(B125,עזר!A$2:B$329,2,FALSE)</f>
        <v>65819.77</v>
      </c>
      <c r="AH125" s="1074">
        <f t="shared" si="57"/>
        <v>19988.010000000002</v>
      </c>
      <c r="AI125" s="1074">
        <f t="shared" si="58"/>
        <v>85807.78</v>
      </c>
      <c r="AJ125" s="1077">
        <f>VLOOKUP(B125,Sheet1!D$2:K$430,7,FALSE)</f>
        <v>0.82352941176470584</v>
      </c>
      <c r="AK125" s="1074">
        <f>VLOOKUP(B125,Sheet1!D$2:L$430,8,FALSE)</f>
        <v>60095</v>
      </c>
      <c r="AL125" s="1109">
        <f t="shared" si="59"/>
        <v>0.83</v>
      </c>
      <c r="AM125" s="1074">
        <f>AI125*1.02</f>
        <v>87523.935599999997</v>
      </c>
      <c r="AN125" s="1085">
        <f t="shared" si="60"/>
        <v>0.83</v>
      </c>
      <c r="AO125" s="1074">
        <f t="shared" si="61"/>
        <v>87523.935599999997</v>
      </c>
      <c r="AP125" s="1080"/>
    </row>
    <row r="126" spans="1:42" outlineLevel="2" x14ac:dyDescent="0.2">
      <c r="A126" s="1075">
        <v>506</v>
      </c>
      <c r="B126" s="1078">
        <v>2616472</v>
      </c>
      <c r="C126" s="1075">
        <v>26164723</v>
      </c>
      <c r="D126" s="1075" t="s">
        <v>2108</v>
      </c>
      <c r="E126" s="1075" t="s">
        <v>2109</v>
      </c>
      <c r="F126" s="1075">
        <v>812301</v>
      </c>
      <c r="G126" s="1075" t="s">
        <v>2107</v>
      </c>
      <c r="H126" s="1075">
        <v>90534</v>
      </c>
      <c r="I126" s="1075">
        <v>1</v>
      </c>
      <c r="J126" s="1075">
        <v>0</v>
      </c>
      <c r="K126" s="1075">
        <v>0</v>
      </c>
      <c r="L126" s="1075">
        <v>0</v>
      </c>
      <c r="M126" s="1094" t="s">
        <v>3136</v>
      </c>
      <c r="N126" s="1075" t="s">
        <v>1447</v>
      </c>
      <c r="O126" s="1077">
        <f t="shared" si="56"/>
        <v>0</v>
      </c>
      <c r="P126" s="1075">
        <v>0</v>
      </c>
      <c r="Q126" s="1074">
        <v>-182.78</v>
      </c>
      <c r="R126" s="1074">
        <v>-40.82</v>
      </c>
      <c r="S126" s="1074">
        <v>-4.42</v>
      </c>
      <c r="T126" s="1074">
        <v>-127.95</v>
      </c>
      <c r="U126" s="1074">
        <v>0</v>
      </c>
      <c r="V126" s="1074">
        <v>0</v>
      </c>
      <c r="W126" s="1074">
        <v>0</v>
      </c>
      <c r="X126" s="1074">
        <v>0</v>
      </c>
      <c r="Y126" s="1074">
        <v>87.15</v>
      </c>
      <c r="Z126" s="1074">
        <v>0</v>
      </c>
      <c r="AA126" s="1074">
        <v>-215.1</v>
      </c>
      <c r="AB126" s="1074">
        <v>-9.59</v>
      </c>
      <c r="AC126" s="1074">
        <v>0</v>
      </c>
      <c r="AD126" s="1074">
        <v>0</v>
      </c>
      <c r="AE126" s="1074">
        <v>1812301</v>
      </c>
      <c r="AF126" s="1074" t="s">
        <v>251</v>
      </c>
      <c r="AG126" s="1095">
        <v>0</v>
      </c>
      <c r="AH126" s="1074">
        <f t="shared" si="57"/>
        <v>-548.34</v>
      </c>
      <c r="AI126" s="1074">
        <f t="shared" si="58"/>
        <v>-548.34</v>
      </c>
      <c r="AJ126" s="1077">
        <f>VLOOKUP(B126,Sheet1!D$2:K$430,7,FALSE)</f>
        <v>0.82</v>
      </c>
      <c r="AK126" s="1074">
        <f>VLOOKUP(B126,Sheet1!D$2:L$430,8,FALSE)</f>
        <v>55634</v>
      </c>
      <c r="AL126" s="1109">
        <f t="shared" si="59"/>
        <v>0</v>
      </c>
      <c r="AM126" s="1074">
        <v>0</v>
      </c>
      <c r="AN126" s="1085">
        <f t="shared" si="60"/>
        <v>0</v>
      </c>
      <c r="AO126" s="1074">
        <f t="shared" si="61"/>
        <v>0</v>
      </c>
      <c r="AP126" s="1080"/>
    </row>
    <row r="127" spans="1:42" outlineLevel="2" x14ac:dyDescent="0.2">
      <c r="A127" s="1075">
        <v>506</v>
      </c>
      <c r="B127" s="1078">
        <v>2643960</v>
      </c>
      <c r="C127" s="1075">
        <v>26439604</v>
      </c>
      <c r="D127" s="1075" t="s">
        <v>1451</v>
      </c>
      <c r="E127" s="1075" t="s">
        <v>2285</v>
      </c>
      <c r="F127" s="1075">
        <v>812301</v>
      </c>
      <c r="G127" s="1075" t="s">
        <v>2107</v>
      </c>
      <c r="H127" s="1075">
        <v>90534</v>
      </c>
      <c r="I127" s="1075">
        <v>0</v>
      </c>
      <c r="J127" s="1075">
        <v>5</v>
      </c>
      <c r="K127" s="1075">
        <v>4</v>
      </c>
      <c r="L127" s="1075">
        <v>0</v>
      </c>
      <c r="M127" s="1094" t="s">
        <v>3136</v>
      </c>
      <c r="N127" s="1075" t="s">
        <v>1447</v>
      </c>
      <c r="O127" s="1077">
        <f t="shared" si="56"/>
        <v>0.83</v>
      </c>
      <c r="P127" s="1075">
        <v>83</v>
      </c>
      <c r="Q127" s="1074">
        <v>6314.43</v>
      </c>
      <c r="R127" s="1074">
        <v>991.15</v>
      </c>
      <c r="S127" s="1074">
        <v>165.53</v>
      </c>
      <c r="T127" s="1074">
        <v>4797.8999999999996</v>
      </c>
      <c r="U127" s="1074">
        <v>0</v>
      </c>
      <c r="V127" s="1074">
        <v>0</v>
      </c>
      <c r="W127" s="1074">
        <v>0</v>
      </c>
      <c r="X127" s="1074">
        <v>0</v>
      </c>
      <c r="Y127" s="1074">
        <v>102.65</v>
      </c>
      <c r="Z127" s="1074">
        <v>0</v>
      </c>
      <c r="AA127" s="1074">
        <v>4695.25</v>
      </c>
      <c r="AB127" s="1074">
        <v>359.85</v>
      </c>
      <c r="AC127" s="1074">
        <v>0</v>
      </c>
      <c r="AD127" s="1074">
        <v>0</v>
      </c>
      <c r="AE127" s="1074">
        <v>1812301</v>
      </c>
      <c r="AF127" s="1074" t="s">
        <v>251</v>
      </c>
      <c r="AG127" s="1095">
        <f>VLOOKUP(B127,עזר!A$2:B$329,2,FALSE)</f>
        <v>61006.05</v>
      </c>
      <c r="AH127" s="1074">
        <f t="shared" si="57"/>
        <v>18943.29</v>
      </c>
      <c r="AI127" s="1074">
        <f t="shared" si="58"/>
        <v>79949.34</v>
      </c>
      <c r="AJ127" s="1077">
        <f>VLOOKUP(B127,Sheet1!D$2:K$430,7,FALSE)</f>
        <v>0.82352941176470584</v>
      </c>
      <c r="AK127" s="1074">
        <f>VLOOKUP(B127,Sheet1!D$2:L$430,8,FALSE)</f>
        <v>44574</v>
      </c>
      <c r="AL127" s="1109">
        <f t="shared" si="59"/>
        <v>0.83</v>
      </c>
      <c r="AM127" s="1074">
        <f>AI127*1.02</f>
        <v>81548.326799999995</v>
      </c>
      <c r="AN127" s="1085">
        <f t="shared" si="60"/>
        <v>0.83</v>
      </c>
      <c r="AO127" s="1074">
        <f t="shared" si="61"/>
        <v>81548.326799999995</v>
      </c>
      <c r="AP127" s="1080"/>
    </row>
    <row r="128" spans="1:42" outlineLevel="2" x14ac:dyDescent="0.2">
      <c r="A128" s="1075">
        <v>506</v>
      </c>
      <c r="B128" s="1078">
        <v>3292292</v>
      </c>
      <c r="C128" s="1075">
        <v>32922924</v>
      </c>
      <c r="D128" s="1075" t="s">
        <v>2138</v>
      </c>
      <c r="E128" s="1075" t="s">
        <v>2286</v>
      </c>
      <c r="F128" s="1075">
        <v>812301</v>
      </c>
      <c r="G128" s="1075" t="s">
        <v>2107</v>
      </c>
      <c r="H128" s="1075">
        <v>90534</v>
      </c>
      <c r="I128" s="1075">
        <v>0</v>
      </c>
      <c r="J128" s="1075">
        <v>5</v>
      </c>
      <c r="K128" s="1075">
        <v>4</v>
      </c>
      <c r="L128" s="1075">
        <v>0</v>
      </c>
      <c r="M128" s="1094" t="s">
        <v>3136</v>
      </c>
      <c r="N128" s="1075" t="s">
        <v>1447</v>
      </c>
      <c r="O128" s="1077">
        <f t="shared" si="56"/>
        <v>0.83</v>
      </c>
      <c r="P128" s="1075">
        <v>83</v>
      </c>
      <c r="Q128" s="1074">
        <v>6235.2</v>
      </c>
      <c r="R128" s="1074">
        <v>978.55</v>
      </c>
      <c r="S128" s="1074">
        <v>163.46</v>
      </c>
      <c r="T128" s="1074">
        <v>4737.84</v>
      </c>
      <c r="U128" s="1074">
        <v>0</v>
      </c>
      <c r="V128" s="1074">
        <v>0</v>
      </c>
      <c r="W128" s="1074">
        <v>0</v>
      </c>
      <c r="X128" s="1074">
        <v>0</v>
      </c>
      <c r="Y128" s="1074">
        <v>102.65</v>
      </c>
      <c r="Z128" s="1074">
        <v>0</v>
      </c>
      <c r="AA128" s="1074">
        <v>4635.1899999999996</v>
      </c>
      <c r="AB128" s="1074">
        <v>355.35</v>
      </c>
      <c r="AC128" s="1074">
        <v>0</v>
      </c>
      <c r="AD128" s="1074">
        <v>0</v>
      </c>
      <c r="AE128" s="1074">
        <v>1812301</v>
      </c>
      <c r="AF128" s="1074" t="s">
        <v>251</v>
      </c>
      <c r="AG128" s="1095">
        <f>VLOOKUP(B128,עזר!A$2:B$329,2,FALSE)</f>
        <v>60551.729999999996</v>
      </c>
      <c r="AH128" s="1074">
        <f t="shared" si="57"/>
        <v>18705.599999999999</v>
      </c>
      <c r="AI128" s="1074">
        <f t="shared" si="58"/>
        <v>79257.329999999987</v>
      </c>
      <c r="AJ128" s="1077">
        <f>VLOOKUP(B128,Sheet1!D$2:K$430,7,FALSE)</f>
        <v>0.82352941176470584</v>
      </c>
      <c r="AK128" s="1074">
        <f>VLOOKUP(B128,Sheet1!D$2:L$430,8,FALSE)</f>
        <v>50438</v>
      </c>
      <c r="AL128" s="1109">
        <f t="shared" si="59"/>
        <v>0.83</v>
      </c>
      <c r="AM128" s="1074">
        <f>AI128*1.02</f>
        <v>80842.476599999995</v>
      </c>
      <c r="AN128" s="1085">
        <f t="shared" si="60"/>
        <v>0.83</v>
      </c>
      <c r="AO128" s="1074">
        <f t="shared" si="61"/>
        <v>80842.476599999995</v>
      </c>
      <c r="AP128" s="1080"/>
    </row>
    <row r="129" spans="1:42" outlineLevel="2" x14ac:dyDescent="0.2">
      <c r="A129" s="1075">
        <v>506</v>
      </c>
      <c r="B129" s="1078">
        <v>3457700</v>
      </c>
      <c r="C129" s="1075">
        <v>34577007</v>
      </c>
      <c r="D129" s="1075" t="s">
        <v>2117</v>
      </c>
      <c r="E129" s="1075" t="s">
        <v>2118</v>
      </c>
      <c r="F129" s="1075">
        <v>812301</v>
      </c>
      <c r="G129" s="1075" t="s">
        <v>2107</v>
      </c>
      <c r="H129" s="1075">
        <v>90534</v>
      </c>
      <c r="I129" s="1075">
        <v>1</v>
      </c>
      <c r="J129" s="1075">
        <v>0</v>
      </c>
      <c r="K129" s="1075">
        <v>0</v>
      </c>
      <c r="L129" s="1075">
        <v>0</v>
      </c>
      <c r="M129" s="1094" t="s">
        <v>3136</v>
      </c>
      <c r="N129" s="1075" t="s">
        <v>1447</v>
      </c>
      <c r="O129" s="1077">
        <f t="shared" si="56"/>
        <v>0</v>
      </c>
      <c r="P129" s="1075">
        <v>0</v>
      </c>
      <c r="Q129" s="1074">
        <v>78.62</v>
      </c>
      <c r="R129" s="1074">
        <v>3.39</v>
      </c>
      <c r="S129" s="1074">
        <v>2.34</v>
      </c>
      <c r="T129" s="1074">
        <v>67.8</v>
      </c>
      <c r="U129" s="1074">
        <v>0</v>
      </c>
      <c r="V129" s="1074">
        <v>0</v>
      </c>
      <c r="W129" s="1074">
        <v>0</v>
      </c>
      <c r="X129" s="1074">
        <v>0</v>
      </c>
      <c r="Y129" s="1074">
        <v>67.8</v>
      </c>
      <c r="Z129" s="1074">
        <v>0</v>
      </c>
      <c r="AA129" s="1074">
        <v>0</v>
      </c>
      <c r="AB129" s="1074">
        <v>5.09</v>
      </c>
      <c r="AC129" s="1074">
        <v>0</v>
      </c>
      <c r="AD129" s="1074">
        <v>0</v>
      </c>
      <c r="AE129" s="1074">
        <v>1812301</v>
      </c>
      <c r="AF129" s="1074" t="s">
        <v>251</v>
      </c>
      <c r="AG129" s="1095">
        <v>0</v>
      </c>
      <c r="AH129" s="1074">
        <f t="shared" si="57"/>
        <v>235.86</v>
      </c>
      <c r="AI129" s="1074">
        <f t="shared" si="58"/>
        <v>235.86</v>
      </c>
      <c r="AJ129" s="1077">
        <f>VLOOKUP(B129,Sheet1!D$2:K$430,7,FALSE)</f>
        <v>0.82352941176470584</v>
      </c>
      <c r="AK129" s="1074">
        <f>VLOOKUP(B129,Sheet1!D$2:L$430,8,FALSE)</f>
        <v>33737</v>
      </c>
      <c r="AL129" s="1109">
        <f t="shared" si="59"/>
        <v>0</v>
      </c>
      <c r="AM129" s="1074">
        <v>0</v>
      </c>
      <c r="AN129" s="1085">
        <f t="shared" si="60"/>
        <v>0</v>
      </c>
      <c r="AO129" s="1074">
        <f t="shared" si="61"/>
        <v>0</v>
      </c>
      <c r="AP129" s="1080"/>
    </row>
    <row r="130" spans="1:42" outlineLevel="2" x14ac:dyDescent="0.2">
      <c r="A130" s="1075">
        <v>506</v>
      </c>
      <c r="B130" s="1078">
        <v>5576214</v>
      </c>
      <c r="C130" s="1075">
        <v>55762140</v>
      </c>
      <c r="D130" s="1075" t="s">
        <v>2287</v>
      </c>
      <c r="E130" s="1075" t="s">
        <v>2288</v>
      </c>
      <c r="F130" s="1075">
        <v>812301</v>
      </c>
      <c r="G130" s="1075" t="s">
        <v>2107</v>
      </c>
      <c r="H130" s="1075">
        <v>90534</v>
      </c>
      <c r="I130" s="1075">
        <v>0</v>
      </c>
      <c r="J130" s="1075">
        <v>5</v>
      </c>
      <c r="K130" s="1075">
        <v>4</v>
      </c>
      <c r="L130" s="1075">
        <v>0</v>
      </c>
      <c r="M130" s="1094" t="s">
        <v>3136</v>
      </c>
      <c r="N130" s="1075" t="s">
        <v>1447</v>
      </c>
      <c r="O130" s="1077">
        <f t="shared" si="56"/>
        <v>0.83</v>
      </c>
      <c r="P130" s="1075">
        <v>83</v>
      </c>
      <c r="Q130" s="1074">
        <v>6502.24</v>
      </c>
      <c r="R130" s="1074">
        <v>1014.15</v>
      </c>
      <c r="S130" s="1074">
        <v>170.65</v>
      </c>
      <c r="T130" s="1074">
        <v>4946.4399999999996</v>
      </c>
      <c r="U130" s="1074">
        <v>0</v>
      </c>
      <c r="V130" s="1074">
        <v>0</v>
      </c>
      <c r="W130" s="1074">
        <v>0</v>
      </c>
      <c r="X130" s="1074">
        <v>0</v>
      </c>
      <c r="Y130" s="1074">
        <v>102.65</v>
      </c>
      <c r="Z130" s="1074">
        <v>0</v>
      </c>
      <c r="AA130" s="1074">
        <v>4843.79</v>
      </c>
      <c r="AB130" s="1074">
        <v>371</v>
      </c>
      <c r="AC130" s="1074">
        <v>0</v>
      </c>
      <c r="AD130" s="1074">
        <v>0</v>
      </c>
      <c r="AE130" s="1074">
        <v>1812301</v>
      </c>
      <c r="AF130" s="1074" t="s">
        <v>251</v>
      </c>
      <c r="AG130" s="1095">
        <f>VLOOKUP(B130,עזר!A$2:B$329,2,FALSE)</f>
        <v>64885.2</v>
      </c>
      <c r="AH130" s="1074">
        <f t="shared" si="57"/>
        <v>19506.72</v>
      </c>
      <c r="AI130" s="1074">
        <f t="shared" si="58"/>
        <v>84391.92</v>
      </c>
      <c r="AJ130" s="1077">
        <f>VLOOKUP(B130,Sheet1!D$2:K$430,7,FALSE)</f>
        <v>0.82352941176470584</v>
      </c>
      <c r="AK130" s="1074">
        <f>VLOOKUP(B130,Sheet1!D$2:L$430,8,FALSE)</f>
        <v>58927</v>
      </c>
      <c r="AL130" s="1109">
        <f t="shared" si="59"/>
        <v>0.83</v>
      </c>
      <c r="AM130" s="1074">
        <f>AI130*1.02</f>
        <v>86079.758400000006</v>
      </c>
      <c r="AN130" s="1085">
        <f t="shared" si="60"/>
        <v>0.83</v>
      </c>
      <c r="AO130" s="1074">
        <f t="shared" si="61"/>
        <v>86079.758400000006</v>
      </c>
      <c r="AP130" s="1080"/>
    </row>
    <row r="131" spans="1:42" outlineLevel="2" x14ac:dyDescent="0.2">
      <c r="A131" s="1075">
        <v>506</v>
      </c>
      <c r="B131" s="1078">
        <v>5938514</v>
      </c>
      <c r="C131" s="1075">
        <v>59385146</v>
      </c>
      <c r="D131" s="1075" t="s">
        <v>2119</v>
      </c>
      <c r="E131" s="1075" t="s">
        <v>2289</v>
      </c>
      <c r="F131" s="1075">
        <v>812301</v>
      </c>
      <c r="G131" s="1075" t="s">
        <v>2107</v>
      </c>
      <c r="H131" s="1075">
        <v>90534</v>
      </c>
      <c r="I131" s="1075">
        <v>0</v>
      </c>
      <c r="J131" s="1075">
        <v>5</v>
      </c>
      <c r="K131" s="1075">
        <v>4</v>
      </c>
      <c r="L131" s="1075">
        <v>0</v>
      </c>
      <c r="M131" s="1094" t="s">
        <v>3136</v>
      </c>
      <c r="N131" s="1075" t="s">
        <v>1447</v>
      </c>
      <c r="O131" s="1077">
        <f t="shared" si="56"/>
        <v>0.83</v>
      </c>
      <c r="P131" s="1075">
        <v>83</v>
      </c>
      <c r="Q131" s="1074">
        <v>5836.81</v>
      </c>
      <c r="R131" s="1074">
        <v>925.57</v>
      </c>
      <c r="S131" s="1074">
        <v>152.72</v>
      </c>
      <c r="T131" s="1074">
        <v>4426.53</v>
      </c>
      <c r="U131" s="1074">
        <v>0</v>
      </c>
      <c r="V131" s="1074">
        <v>0</v>
      </c>
      <c r="W131" s="1074">
        <v>0</v>
      </c>
      <c r="X131" s="1074">
        <v>0</v>
      </c>
      <c r="Y131" s="1074">
        <v>25.2</v>
      </c>
      <c r="Z131" s="1074">
        <v>0</v>
      </c>
      <c r="AA131" s="1074">
        <v>4401.33</v>
      </c>
      <c r="AB131" s="1074">
        <v>331.99</v>
      </c>
      <c r="AC131" s="1074">
        <v>0</v>
      </c>
      <c r="AD131" s="1074">
        <v>0</v>
      </c>
      <c r="AE131" s="1074">
        <v>1812301</v>
      </c>
      <c r="AF131" s="1074" t="s">
        <v>251</v>
      </c>
      <c r="AG131" s="1095">
        <f>VLOOKUP(B131,עזר!A$2:B$329,2,FALSE)</f>
        <v>81739.3</v>
      </c>
      <c r="AH131" s="1074">
        <f t="shared" si="57"/>
        <v>17510.43</v>
      </c>
      <c r="AI131" s="1074">
        <f t="shared" si="58"/>
        <v>99249.73000000001</v>
      </c>
      <c r="AJ131" s="1077">
        <f>VLOOKUP(B131,Sheet1!D$2:K$430,7,FALSE)</f>
        <v>0.65</v>
      </c>
      <c r="AK131" s="1074">
        <f>VLOOKUP(B131,Sheet1!D$2:L$430,8,FALSE)</f>
        <v>70255</v>
      </c>
      <c r="AL131" s="1109">
        <f t="shared" si="59"/>
        <v>0.83</v>
      </c>
      <c r="AM131" s="1074">
        <f>AI131*1.02</f>
        <v>101234.72460000002</v>
      </c>
      <c r="AN131" s="1085">
        <f t="shared" si="60"/>
        <v>0.83</v>
      </c>
      <c r="AO131" s="1074">
        <f t="shared" si="61"/>
        <v>101234.72460000002</v>
      </c>
      <c r="AP131" s="1080"/>
    </row>
    <row r="132" spans="1:42" outlineLevel="2" x14ac:dyDescent="0.2">
      <c r="A132" s="1075">
        <v>506</v>
      </c>
      <c r="B132" s="1078">
        <v>30287672</v>
      </c>
      <c r="C132" s="1075">
        <v>302876727</v>
      </c>
      <c r="D132" s="1075" t="s">
        <v>2260</v>
      </c>
      <c r="E132" s="1075" t="s">
        <v>2294</v>
      </c>
      <c r="F132" s="1075">
        <v>812301</v>
      </c>
      <c r="G132" s="1075" t="s">
        <v>2107</v>
      </c>
      <c r="H132" s="1075">
        <v>90534</v>
      </c>
      <c r="I132" s="1075">
        <v>1</v>
      </c>
      <c r="J132" s="1075">
        <v>0</v>
      </c>
      <c r="K132" s="1075">
        <v>0</v>
      </c>
      <c r="L132" s="1075">
        <v>0</v>
      </c>
      <c r="M132" s="1094" t="s">
        <v>3136</v>
      </c>
      <c r="N132" s="1075" t="s">
        <v>1447</v>
      </c>
      <c r="O132" s="1077">
        <f>P132/100</f>
        <v>0</v>
      </c>
      <c r="P132" s="1075">
        <v>0</v>
      </c>
      <c r="Q132" s="1074">
        <v>1480.14</v>
      </c>
      <c r="R132" s="1074">
        <v>152.4</v>
      </c>
      <c r="S132" s="1074">
        <v>41.29</v>
      </c>
      <c r="T132" s="1074">
        <v>1196.7</v>
      </c>
      <c r="U132" s="1074">
        <v>0</v>
      </c>
      <c r="V132" s="1074">
        <v>0</v>
      </c>
      <c r="W132" s="1074">
        <v>0</v>
      </c>
      <c r="X132" s="1074">
        <v>0</v>
      </c>
      <c r="Y132" s="1074">
        <v>67.75</v>
      </c>
      <c r="Z132" s="1074">
        <v>0</v>
      </c>
      <c r="AA132" s="1074">
        <v>1128.95</v>
      </c>
      <c r="AB132" s="1074">
        <v>89.75</v>
      </c>
      <c r="AC132" s="1074">
        <v>0</v>
      </c>
      <c r="AD132" s="1074">
        <v>0</v>
      </c>
      <c r="AE132" s="1074">
        <v>1813301</v>
      </c>
      <c r="AF132" s="1074" t="s">
        <v>251</v>
      </c>
      <c r="AG132" s="1095">
        <f>VLOOKUP(B132,עזר!A$2:B$329,2,FALSE)</f>
        <v>30602.239999999998</v>
      </c>
      <c r="AH132" s="1074">
        <f>Q132*3</f>
        <v>4440.42</v>
      </c>
      <c r="AI132" s="1074">
        <f>AH132+AG132</f>
        <v>35042.659999999996</v>
      </c>
      <c r="AJ132" s="1077">
        <f>VLOOKUP(B132,Sheet1!D$2:K$430,7,FALSE)</f>
        <v>0.8</v>
      </c>
      <c r="AK132" s="1074">
        <f>VLOOKUP(B132,Sheet1!D$2:L$430,8,FALSE)</f>
        <v>29000</v>
      </c>
      <c r="AL132" s="1109">
        <f>O132</f>
        <v>0</v>
      </c>
      <c r="AM132" s="1074">
        <f>AI132*1.02</f>
        <v>35743.513199999994</v>
      </c>
      <c r="AN132" s="1085">
        <f>AL132</f>
        <v>0</v>
      </c>
      <c r="AO132" s="1074">
        <f>AM132</f>
        <v>35743.513199999994</v>
      </c>
      <c r="AP132" s="1080"/>
    </row>
    <row r="133" spans="1:42" outlineLevel="1" x14ac:dyDescent="0.2">
      <c r="B133" s="1078"/>
      <c r="F133" s="1088" t="s">
        <v>3099</v>
      </c>
      <c r="O133" s="1077">
        <f>SUBTOTAL(9,O123:O132)</f>
        <v>5.81</v>
      </c>
      <c r="Q133" s="1074">
        <f>SUBTOTAL(9,Q123:Q132)</f>
        <v>45709.119999999995</v>
      </c>
      <c r="R133" s="1074"/>
      <c r="S133" s="1074"/>
      <c r="T133" s="1074"/>
      <c r="U133" s="1074"/>
      <c r="V133" s="1074"/>
      <c r="W133" s="1074"/>
      <c r="X133" s="1074"/>
      <c r="Y133" s="1074"/>
      <c r="Z133" s="1074"/>
      <c r="AA133" s="1074"/>
      <c r="AB133" s="1074"/>
      <c r="AC133" s="1074"/>
      <c r="AD133" s="1074"/>
      <c r="AE133" s="1074"/>
      <c r="AF133" s="1074"/>
      <c r="AG133" s="1095">
        <f t="shared" ref="AG133:AM133" si="62">SUBTOTAL(9,AG123:AG132)</f>
        <v>455789.18</v>
      </c>
      <c r="AH133" s="1074">
        <f t="shared" si="62"/>
        <v>137127.36000000004</v>
      </c>
      <c r="AI133" s="1074">
        <f t="shared" si="62"/>
        <v>592916.54</v>
      </c>
      <c r="AJ133" s="1077">
        <f t="shared" si="62"/>
        <v>8.0311764705882354</v>
      </c>
      <c r="AK133" s="1074">
        <f t="shared" si="62"/>
        <v>492031</v>
      </c>
      <c r="AL133" s="1109">
        <f t="shared" si="62"/>
        <v>5.81</v>
      </c>
      <c r="AM133" s="1074">
        <f t="shared" si="62"/>
        <v>634060.27740000002</v>
      </c>
      <c r="AP133" s="1080">
        <f>SUBTOTAL(9,AP123:AP132)</f>
        <v>0</v>
      </c>
    </row>
    <row r="134" spans="1:42" outlineLevel="2" x14ac:dyDescent="0.2">
      <c r="A134" s="1075">
        <v>506</v>
      </c>
      <c r="B134" s="1078">
        <v>99999999</v>
      </c>
      <c r="C134" s="1078">
        <v>99999999</v>
      </c>
      <c r="D134" s="1075" t="s">
        <v>936</v>
      </c>
      <c r="E134" s="1075" t="s">
        <v>936</v>
      </c>
      <c r="F134" s="1075">
        <v>812500</v>
      </c>
      <c r="M134" s="1094" t="s">
        <v>3169</v>
      </c>
      <c r="N134" s="1094" t="s">
        <v>3169</v>
      </c>
      <c r="Q134" s="1074"/>
      <c r="R134" s="1074"/>
      <c r="S134" s="1074"/>
      <c r="T134" s="1074"/>
      <c r="U134" s="1074"/>
      <c r="V134" s="1074"/>
      <c r="W134" s="1074"/>
      <c r="X134" s="1074"/>
      <c r="Y134" s="1074"/>
      <c r="Z134" s="1074"/>
      <c r="AA134" s="1074"/>
      <c r="AB134" s="1074"/>
      <c r="AC134" s="1074"/>
      <c r="AD134" s="1074"/>
      <c r="AE134" s="1074"/>
      <c r="AF134" s="1074"/>
      <c r="AG134" s="1095"/>
      <c r="AH134" s="1074"/>
      <c r="AI134" s="1074"/>
      <c r="AK134" s="1074"/>
      <c r="AL134" s="1109">
        <v>0.2</v>
      </c>
      <c r="AM134" s="1074">
        <v>22000</v>
      </c>
      <c r="AN134" s="1085">
        <v>0.2</v>
      </c>
      <c r="AO134" s="1074">
        <v>15000</v>
      </c>
      <c r="AP134" s="1080"/>
    </row>
    <row r="135" spans="1:42" outlineLevel="2" x14ac:dyDescent="0.2">
      <c r="A135" s="1075">
        <v>506</v>
      </c>
      <c r="B135" s="1078">
        <v>99999999</v>
      </c>
      <c r="C135" s="1078">
        <v>99999999</v>
      </c>
      <c r="D135" s="1075" t="s">
        <v>936</v>
      </c>
      <c r="E135" s="1075" t="s">
        <v>936</v>
      </c>
      <c r="F135" s="1075">
        <v>812500</v>
      </c>
      <c r="M135" s="1094" t="s">
        <v>3169</v>
      </c>
      <c r="N135" s="1094" t="s">
        <v>3169</v>
      </c>
      <c r="Q135" s="1074"/>
      <c r="R135" s="1074"/>
      <c r="S135" s="1074"/>
      <c r="T135" s="1074"/>
      <c r="U135" s="1074"/>
      <c r="V135" s="1074"/>
      <c r="W135" s="1074"/>
      <c r="X135" s="1074"/>
      <c r="Y135" s="1074"/>
      <c r="Z135" s="1074"/>
      <c r="AA135" s="1074"/>
      <c r="AB135" s="1074"/>
      <c r="AC135" s="1074"/>
      <c r="AD135" s="1074"/>
      <c r="AE135" s="1074"/>
      <c r="AF135" s="1074"/>
      <c r="AG135" s="1095"/>
      <c r="AH135" s="1074"/>
      <c r="AI135" s="1074"/>
      <c r="AK135" s="1074"/>
      <c r="AL135" s="1109">
        <v>0.2</v>
      </c>
      <c r="AM135" s="1074">
        <v>22000</v>
      </c>
      <c r="AN135" s="1085">
        <v>0.2</v>
      </c>
      <c r="AO135" s="1074">
        <v>15000</v>
      </c>
      <c r="AP135" s="1080"/>
    </row>
    <row r="136" spans="1:42" outlineLevel="2" x14ac:dyDescent="0.2">
      <c r="A136" s="1075">
        <v>506</v>
      </c>
      <c r="B136" s="1078">
        <v>99999999</v>
      </c>
      <c r="C136" s="1078">
        <v>99999999</v>
      </c>
      <c r="D136" s="1075" t="s">
        <v>936</v>
      </c>
      <c r="E136" s="1075" t="s">
        <v>936</v>
      </c>
      <c r="F136" s="1075">
        <v>812500</v>
      </c>
      <c r="M136" s="1094" t="s">
        <v>3169</v>
      </c>
      <c r="N136" s="1094" t="s">
        <v>3169</v>
      </c>
      <c r="Q136" s="1074"/>
      <c r="R136" s="1074"/>
      <c r="S136" s="1074"/>
      <c r="T136" s="1074"/>
      <c r="U136" s="1074"/>
      <c r="V136" s="1074"/>
      <c r="W136" s="1074"/>
      <c r="X136" s="1074"/>
      <c r="Y136" s="1074"/>
      <c r="Z136" s="1074"/>
      <c r="AA136" s="1074"/>
      <c r="AB136" s="1074"/>
      <c r="AC136" s="1074"/>
      <c r="AD136" s="1074"/>
      <c r="AE136" s="1074"/>
      <c r="AF136" s="1074"/>
      <c r="AG136" s="1095"/>
      <c r="AH136" s="1074"/>
      <c r="AI136" s="1074"/>
      <c r="AK136" s="1074"/>
      <c r="AL136" s="1109">
        <v>0.2</v>
      </c>
      <c r="AM136" s="1074">
        <v>22000</v>
      </c>
      <c r="AN136" s="1085">
        <v>0.2</v>
      </c>
      <c r="AO136" s="1074">
        <v>15000</v>
      </c>
      <c r="AP136" s="1080"/>
    </row>
    <row r="137" spans="1:42" outlineLevel="2" x14ac:dyDescent="0.2">
      <c r="A137" s="1075">
        <v>506</v>
      </c>
      <c r="B137" s="1078">
        <v>99999999</v>
      </c>
      <c r="C137" s="1078">
        <v>99999999</v>
      </c>
      <c r="D137" s="1075" t="s">
        <v>936</v>
      </c>
      <c r="E137" s="1075" t="s">
        <v>936</v>
      </c>
      <c r="F137" s="1075">
        <v>812500</v>
      </c>
      <c r="M137" s="1094" t="s">
        <v>3169</v>
      </c>
      <c r="N137" s="1094" t="s">
        <v>3169</v>
      </c>
      <c r="Q137" s="1074"/>
      <c r="R137" s="1074"/>
      <c r="S137" s="1074"/>
      <c r="T137" s="1074"/>
      <c r="U137" s="1074"/>
      <c r="V137" s="1074"/>
      <c r="W137" s="1074"/>
      <c r="X137" s="1074"/>
      <c r="Y137" s="1074"/>
      <c r="Z137" s="1074"/>
      <c r="AA137" s="1074"/>
      <c r="AB137" s="1074"/>
      <c r="AC137" s="1074"/>
      <c r="AD137" s="1074"/>
      <c r="AE137" s="1074"/>
      <c r="AF137" s="1074"/>
      <c r="AG137" s="1095"/>
      <c r="AH137" s="1074"/>
      <c r="AI137" s="1074"/>
      <c r="AK137" s="1074"/>
      <c r="AL137" s="1109">
        <v>0.2</v>
      </c>
      <c r="AM137" s="1074">
        <v>22000</v>
      </c>
      <c r="AN137" s="1085">
        <v>0.2</v>
      </c>
      <c r="AO137" s="1074">
        <v>15000</v>
      </c>
      <c r="AP137" s="1080"/>
    </row>
    <row r="138" spans="1:42" outlineLevel="2" x14ac:dyDescent="0.2">
      <c r="A138" s="1075">
        <v>506</v>
      </c>
      <c r="B138" s="1078">
        <v>99999999</v>
      </c>
      <c r="C138" s="1078">
        <v>99999999</v>
      </c>
      <c r="D138" s="1075" t="s">
        <v>936</v>
      </c>
      <c r="E138" s="1075" t="s">
        <v>936</v>
      </c>
      <c r="F138" s="1075">
        <v>812500</v>
      </c>
      <c r="M138" s="1094" t="s">
        <v>3169</v>
      </c>
      <c r="N138" s="1094" t="s">
        <v>3169</v>
      </c>
      <c r="Q138" s="1074"/>
      <c r="R138" s="1074"/>
      <c r="S138" s="1074"/>
      <c r="T138" s="1074"/>
      <c r="U138" s="1074"/>
      <c r="V138" s="1074"/>
      <c r="W138" s="1074"/>
      <c r="X138" s="1074"/>
      <c r="Y138" s="1074"/>
      <c r="Z138" s="1074"/>
      <c r="AA138" s="1074"/>
      <c r="AB138" s="1074"/>
      <c r="AC138" s="1074"/>
      <c r="AD138" s="1074"/>
      <c r="AE138" s="1074"/>
      <c r="AF138" s="1074"/>
      <c r="AG138" s="1095"/>
      <c r="AH138" s="1074"/>
      <c r="AI138" s="1074"/>
      <c r="AK138" s="1074"/>
      <c r="AL138" s="1109">
        <v>0.2</v>
      </c>
      <c r="AM138" s="1074">
        <v>22000</v>
      </c>
      <c r="AN138" s="1085">
        <v>0.2</v>
      </c>
      <c r="AO138" s="1074">
        <v>15000</v>
      </c>
      <c r="AP138" s="1080"/>
    </row>
    <row r="139" spans="1:42" outlineLevel="1" x14ac:dyDescent="0.2">
      <c r="B139" s="1078"/>
      <c r="C139" s="1078"/>
      <c r="F139" s="1088" t="s">
        <v>3199</v>
      </c>
      <c r="M139" s="1094"/>
      <c r="N139" s="1094"/>
      <c r="O139" s="1077">
        <f>SUBTOTAL(9,O134:O138)</f>
        <v>0</v>
      </c>
      <c r="Q139" s="1074">
        <f>SUBTOTAL(9,Q134:Q138)</f>
        <v>0</v>
      </c>
      <c r="R139" s="1074"/>
      <c r="S139" s="1074"/>
      <c r="T139" s="1074"/>
      <c r="U139" s="1074"/>
      <c r="V139" s="1074"/>
      <c r="W139" s="1074"/>
      <c r="X139" s="1074"/>
      <c r="Y139" s="1074"/>
      <c r="Z139" s="1074"/>
      <c r="AA139" s="1074"/>
      <c r="AB139" s="1074"/>
      <c r="AC139" s="1074"/>
      <c r="AD139" s="1074"/>
      <c r="AE139" s="1074"/>
      <c r="AF139" s="1074"/>
      <c r="AG139" s="1095">
        <f t="shared" ref="AG139:AM139" si="63">SUBTOTAL(9,AG134:AG138)</f>
        <v>0</v>
      </c>
      <c r="AH139" s="1074">
        <f t="shared" si="63"/>
        <v>0</v>
      </c>
      <c r="AI139" s="1074">
        <f t="shared" si="63"/>
        <v>0</v>
      </c>
      <c r="AJ139" s="1077">
        <f t="shared" si="63"/>
        <v>0</v>
      </c>
      <c r="AK139" s="1074">
        <f t="shared" si="63"/>
        <v>0</v>
      </c>
      <c r="AL139" s="1109">
        <f t="shared" si="63"/>
        <v>1</v>
      </c>
      <c r="AM139" s="1074">
        <f t="shared" si="63"/>
        <v>110000</v>
      </c>
      <c r="AP139" s="1080">
        <f>SUBTOTAL(9,AP134:AP138)</f>
        <v>0</v>
      </c>
    </row>
    <row r="140" spans="1:42" outlineLevel="2" x14ac:dyDescent="0.2">
      <c r="A140" s="1075">
        <v>506</v>
      </c>
      <c r="B140" s="1078">
        <v>2751317</v>
      </c>
      <c r="C140" s="1075">
        <v>27513175</v>
      </c>
      <c r="D140" s="1075" t="s">
        <v>1390</v>
      </c>
      <c r="E140" s="1075" t="s">
        <v>2154</v>
      </c>
      <c r="F140" s="1075">
        <v>812502</v>
      </c>
      <c r="G140" s="1075" t="s">
        <v>2107</v>
      </c>
      <c r="H140" s="1075">
        <v>90534</v>
      </c>
      <c r="I140" s="1075">
        <v>1</v>
      </c>
      <c r="J140" s="1075">
        <v>0</v>
      </c>
      <c r="K140" s="1075">
        <v>0</v>
      </c>
      <c r="L140" s="1075">
        <v>0</v>
      </c>
      <c r="M140" s="1094" t="s">
        <v>1494</v>
      </c>
      <c r="N140" s="1075" t="s">
        <v>2783</v>
      </c>
      <c r="O140" s="1077">
        <f>P140/100</f>
        <v>0</v>
      </c>
      <c r="P140" s="1075">
        <v>0</v>
      </c>
      <c r="Q140" s="1074">
        <v>4407.5</v>
      </c>
      <c r="R140" s="1074">
        <v>472.5</v>
      </c>
      <c r="S140" s="1074">
        <v>137.05000000000001</v>
      </c>
      <c r="T140" s="1074">
        <v>3500</v>
      </c>
      <c r="U140" s="1074">
        <v>0</v>
      </c>
      <c r="V140" s="1074">
        <v>0</v>
      </c>
      <c r="W140" s="1074">
        <v>0</v>
      </c>
      <c r="X140" s="1074">
        <v>0</v>
      </c>
      <c r="Y140" s="1074">
        <v>0</v>
      </c>
      <c r="Z140" s="1074">
        <v>0</v>
      </c>
      <c r="AA140" s="1074">
        <v>3500</v>
      </c>
      <c r="AB140" s="1074">
        <v>297.95</v>
      </c>
      <c r="AC140" s="1074">
        <v>0</v>
      </c>
      <c r="AD140" s="1074">
        <v>0</v>
      </c>
      <c r="AE140" s="1074">
        <v>1812502</v>
      </c>
      <c r="AF140" s="1074" t="s">
        <v>251</v>
      </c>
      <c r="AG140" s="1095">
        <f>VLOOKUP(B140,עזר!A$2:B$329,2,FALSE)</f>
        <v>41534.35</v>
      </c>
      <c r="AH140" s="1074">
        <f>Q140*3</f>
        <v>13222.5</v>
      </c>
      <c r="AI140" s="1074">
        <f>AH140+AG140</f>
        <v>54756.85</v>
      </c>
      <c r="AJ140" s="1077" t="str">
        <f>VLOOKUP(B140,Sheet1!D$2:K$430,7,FALSE)</f>
        <v>ש"ש</v>
      </c>
      <c r="AK140" s="1074">
        <f>VLOOKUP(B140,Sheet1!D$2:L$430,8,FALSE)</f>
        <v>32000</v>
      </c>
      <c r="AL140" s="1109">
        <v>0.2</v>
      </c>
      <c r="AM140" s="1074">
        <f>AI140*1.02</f>
        <v>55851.987000000001</v>
      </c>
      <c r="AN140" s="1085">
        <f t="shared" ref="AN140:AO144" si="64">AL140</f>
        <v>0.2</v>
      </c>
      <c r="AO140" s="1074">
        <f t="shared" si="64"/>
        <v>55851.987000000001</v>
      </c>
      <c r="AP140" s="1080"/>
    </row>
    <row r="141" spans="1:42" outlineLevel="2" x14ac:dyDescent="0.2">
      <c r="A141" s="1075">
        <v>506</v>
      </c>
      <c r="B141" s="1078">
        <v>2999412</v>
      </c>
      <c r="C141" s="1075">
        <v>29994126</v>
      </c>
      <c r="D141" s="1075" t="s">
        <v>2155</v>
      </c>
      <c r="E141" s="1075" t="s">
        <v>2156</v>
      </c>
      <c r="F141" s="1075">
        <v>812502</v>
      </c>
      <c r="G141" s="1075" t="s">
        <v>2107</v>
      </c>
      <c r="H141" s="1075">
        <v>90534</v>
      </c>
      <c r="I141" s="1075">
        <v>1</v>
      </c>
      <c r="J141" s="1075">
        <v>0</v>
      </c>
      <c r="K141" s="1075">
        <v>0</v>
      </c>
      <c r="L141" s="1075">
        <v>0</v>
      </c>
      <c r="M141" s="1094" t="s">
        <v>1494</v>
      </c>
      <c r="N141" s="1075" t="s">
        <v>2783</v>
      </c>
      <c r="O141" s="1077">
        <f>P141/100</f>
        <v>0</v>
      </c>
      <c r="P141" s="1075">
        <v>0</v>
      </c>
      <c r="Q141" s="1074">
        <v>872.12</v>
      </c>
      <c r="R141" s="1074">
        <v>85.3</v>
      </c>
      <c r="S141" s="1074">
        <v>24.47</v>
      </c>
      <c r="T141" s="1074">
        <v>709.15</v>
      </c>
      <c r="U141" s="1074">
        <v>0</v>
      </c>
      <c r="V141" s="1074">
        <v>0</v>
      </c>
      <c r="W141" s="1074">
        <v>0</v>
      </c>
      <c r="X141" s="1074">
        <v>0</v>
      </c>
      <c r="Y141" s="1074">
        <v>77.45</v>
      </c>
      <c r="Z141" s="1074">
        <v>0</v>
      </c>
      <c r="AA141" s="1074">
        <v>631.70000000000005</v>
      </c>
      <c r="AB141" s="1074">
        <v>53.2</v>
      </c>
      <c r="AC141" s="1074">
        <v>0</v>
      </c>
      <c r="AD141" s="1074">
        <v>0</v>
      </c>
      <c r="AE141" s="1074">
        <v>1812502</v>
      </c>
      <c r="AF141" s="1074" t="s">
        <v>251</v>
      </c>
      <c r="AG141" s="1095">
        <f>VLOOKUP(B141,עזר!A$2:B$329,2,FALSE)</f>
        <v>17021.240000000002</v>
      </c>
      <c r="AH141" s="1074">
        <f>Q141*3</f>
        <v>2616.36</v>
      </c>
      <c r="AI141" s="1074">
        <f>AH141+AG141</f>
        <v>19637.600000000002</v>
      </c>
      <c r="AJ141" s="1077">
        <f>VLOOKUP(B141,Sheet1!D$2:K$430,7,FALSE)</f>
        <v>0.94117647058823528</v>
      </c>
      <c r="AK141" s="1074">
        <f>VLOOKUP(B141,Sheet1!D$2:L$430,8,FALSE)</f>
        <v>42000</v>
      </c>
      <c r="AL141" s="1109">
        <v>0.2</v>
      </c>
      <c r="AM141" s="1074">
        <f>AI141*1.02</f>
        <v>20030.352000000003</v>
      </c>
      <c r="AN141" s="1085">
        <f t="shared" si="64"/>
        <v>0.2</v>
      </c>
      <c r="AO141" s="1074">
        <f t="shared" si="64"/>
        <v>20030.352000000003</v>
      </c>
      <c r="AP141" s="1080"/>
    </row>
    <row r="142" spans="1:42" outlineLevel="2" x14ac:dyDescent="0.2">
      <c r="A142" s="1075">
        <v>506</v>
      </c>
      <c r="B142" s="1078">
        <v>3117724</v>
      </c>
      <c r="C142" s="1075">
        <v>31177249</v>
      </c>
      <c r="D142" s="1075" t="s">
        <v>2157</v>
      </c>
      <c r="E142" s="1075" t="s">
        <v>2120</v>
      </c>
      <c r="F142" s="1075">
        <v>812502</v>
      </c>
      <c r="G142" s="1075" t="s">
        <v>2107</v>
      </c>
      <c r="H142" s="1075">
        <v>90534</v>
      </c>
      <c r="I142" s="1075">
        <v>1</v>
      </c>
      <c r="J142" s="1075">
        <v>0</v>
      </c>
      <c r="K142" s="1075">
        <v>0</v>
      </c>
      <c r="L142" s="1075">
        <v>0</v>
      </c>
      <c r="M142" s="1094" t="s">
        <v>1494</v>
      </c>
      <c r="N142" s="1075" t="s">
        <v>2783</v>
      </c>
      <c r="O142" s="1077">
        <f>P142/100</f>
        <v>0</v>
      </c>
      <c r="P142" s="1075">
        <v>0</v>
      </c>
      <c r="Q142" s="1074">
        <v>3147.91</v>
      </c>
      <c r="R142" s="1074">
        <v>324</v>
      </c>
      <c r="S142" s="1074">
        <v>87.81</v>
      </c>
      <c r="T142" s="1074">
        <v>2545.1999999999998</v>
      </c>
      <c r="U142" s="1074">
        <v>0</v>
      </c>
      <c r="V142" s="1074">
        <v>0</v>
      </c>
      <c r="W142" s="1074">
        <v>0</v>
      </c>
      <c r="X142" s="1074">
        <v>0</v>
      </c>
      <c r="Y142" s="1074">
        <v>145.19999999999999</v>
      </c>
      <c r="Z142" s="1074">
        <v>0</v>
      </c>
      <c r="AA142" s="1074">
        <v>2400</v>
      </c>
      <c r="AB142" s="1074">
        <v>190.9</v>
      </c>
      <c r="AC142" s="1074">
        <v>0</v>
      </c>
      <c r="AD142" s="1074">
        <v>0</v>
      </c>
      <c r="AE142" s="1074">
        <v>1812502</v>
      </c>
      <c r="AF142" s="1074" t="s">
        <v>251</v>
      </c>
      <c r="AG142" s="1095">
        <f>VLOOKUP(B142,עזר!A$2:B$329,2,FALSE)</f>
        <v>30693.83</v>
      </c>
      <c r="AH142" s="1074">
        <f>Q142*3</f>
        <v>9443.73</v>
      </c>
      <c r="AI142" s="1074">
        <f>AH142+AG142</f>
        <v>40137.56</v>
      </c>
      <c r="AJ142" s="1077">
        <f>VLOOKUP(B142,Sheet1!D$2:K$430,7,FALSE)</f>
        <v>0.35294117647058826</v>
      </c>
      <c r="AK142" s="1074">
        <f>VLOOKUP(B142,Sheet1!D$2:L$430,8,FALSE)</f>
        <v>50000</v>
      </c>
      <c r="AL142" s="1109">
        <v>0.2</v>
      </c>
      <c r="AM142" s="1074">
        <f>AI142*1.02</f>
        <v>40940.311199999996</v>
      </c>
      <c r="AN142" s="1085">
        <f t="shared" si="64"/>
        <v>0.2</v>
      </c>
      <c r="AO142" s="1074">
        <f t="shared" si="64"/>
        <v>40940.311199999996</v>
      </c>
      <c r="AP142" s="1080"/>
    </row>
    <row r="143" spans="1:42" outlineLevel="2" x14ac:dyDescent="0.2">
      <c r="A143" s="1075">
        <v>506</v>
      </c>
      <c r="B143" s="1078">
        <v>20376309</v>
      </c>
      <c r="C143" s="1075">
        <v>203763099</v>
      </c>
      <c r="D143" s="1075" t="s">
        <v>2131</v>
      </c>
      <c r="E143" s="1075" t="s">
        <v>2158</v>
      </c>
      <c r="F143" s="1075">
        <v>812502</v>
      </c>
      <c r="G143" s="1075" t="s">
        <v>2107</v>
      </c>
      <c r="H143" s="1075">
        <v>90534</v>
      </c>
      <c r="I143" s="1075">
        <v>1</v>
      </c>
      <c r="J143" s="1075">
        <v>0</v>
      </c>
      <c r="K143" s="1075">
        <v>0</v>
      </c>
      <c r="L143" s="1075">
        <v>0</v>
      </c>
      <c r="M143" s="1094" t="s">
        <v>1494</v>
      </c>
      <c r="N143" s="1075" t="s">
        <v>2783</v>
      </c>
      <c r="O143" s="1077">
        <f>P143/100</f>
        <v>0</v>
      </c>
      <c r="P143" s="1075">
        <v>0</v>
      </c>
      <c r="Q143" s="1074">
        <v>405.61</v>
      </c>
      <c r="R143" s="1074">
        <v>0</v>
      </c>
      <c r="S143" s="1074">
        <v>12.61</v>
      </c>
      <c r="T143" s="1074">
        <v>365.6</v>
      </c>
      <c r="U143" s="1074">
        <v>0</v>
      </c>
      <c r="V143" s="1074">
        <v>0</v>
      </c>
      <c r="W143" s="1074">
        <v>0</v>
      </c>
      <c r="X143" s="1074">
        <v>0</v>
      </c>
      <c r="Y143" s="1074">
        <v>96.8</v>
      </c>
      <c r="Z143" s="1074">
        <v>0</v>
      </c>
      <c r="AA143" s="1074">
        <v>268.8</v>
      </c>
      <c r="AB143" s="1074">
        <v>27.4</v>
      </c>
      <c r="AC143" s="1074">
        <v>0</v>
      </c>
      <c r="AD143" s="1074">
        <v>0</v>
      </c>
      <c r="AE143" s="1074">
        <v>1812502</v>
      </c>
      <c r="AF143" s="1074" t="s">
        <v>251</v>
      </c>
      <c r="AG143" s="1095">
        <f>VLOOKUP(B143,עזר!A$2:B$329,2,FALSE)</f>
        <v>730.15</v>
      </c>
      <c r="AH143" s="1074">
        <f>Q143*3</f>
        <v>1216.83</v>
      </c>
      <c r="AI143" s="1074">
        <f>AH143+AG143</f>
        <v>1946.98</v>
      </c>
      <c r="AJ143" s="1077">
        <v>0</v>
      </c>
      <c r="AK143" s="1074">
        <v>0</v>
      </c>
      <c r="AL143" s="1109">
        <f>O143</f>
        <v>0</v>
      </c>
      <c r="AM143" s="1074">
        <f>AI143*1.02</f>
        <v>1985.9195999999999</v>
      </c>
      <c r="AN143" s="1085">
        <f t="shared" si="64"/>
        <v>0</v>
      </c>
      <c r="AO143" s="1074">
        <f t="shared" si="64"/>
        <v>1985.9195999999999</v>
      </c>
      <c r="AP143" s="1080"/>
    </row>
    <row r="144" spans="1:42" outlineLevel="2" x14ac:dyDescent="0.2">
      <c r="A144" s="1075">
        <v>506</v>
      </c>
      <c r="B144" s="1075">
        <v>20376327</v>
      </c>
      <c r="C144" s="1075">
        <v>203763271</v>
      </c>
      <c r="D144" s="1075" t="s">
        <v>2157</v>
      </c>
      <c r="E144" s="1075" t="s">
        <v>2266</v>
      </c>
      <c r="F144" s="1075">
        <v>812502</v>
      </c>
      <c r="G144" s="1075" t="s">
        <v>2384</v>
      </c>
      <c r="H144" s="1075">
        <v>90534</v>
      </c>
      <c r="I144" s="1075">
        <v>1</v>
      </c>
      <c r="J144" s="1075">
        <v>0</v>
      </c>
      <c r="K144" s="1075">
        <v>0</v>
      </c>
      <c r="L144" s="1075">
        <v>0</v>
      </c>
      <c r="M144" s="1094" t="s">
        <v>1494</v>
      </c>
      <c r="N144" s="1075" t="s">
        <v>2783</v>
      </c>
      <c r="O144" s="1077">
        <v>0</v>
      </c>
      <c r="Q144" s="1074">
        <v>0</v>
      </c>
      <c r="R144" s="1074"/>
      <c r="S144" s="1074"/>
      <c r="T144" s="1074"/>
      <c r="U144" s="1074"/>
      <c r="V144" s="1074"/>
      <c r="W144" s="1074"/>
      <c r="X144" s="1074"/>
      <c r="Y144" s="1074"/>
      <c r="Z144" s="1074"/>
      <c r="AA144" s="1074"/>
      <c r="AB144" s="1074"/>
      <c r="AC144" s="1074"/>
      <c r="AD144" s="1074"/>
      <c r="AE144" s="1074"/>
      <c r="AF144" s="1074"/>
      <c r="AG144" s="1095">
        <f>VLOOKUP(B144,עזר!A$2:B$329,2,FALSE)</f>
        <v>16402.82</v>
      </c>
      <c r="AH144" s="1074">
        <f>Q144*3</f>
        <v>0</v>
      </c>
      <c r="AI144" s="1074">
        <f>AH144+AG144</f>
        <v>16402.82</v>
      </c>
      <c r="AJ144" s="1077">
        <f>VLOOKUP(B144,Sheet1!D$2:K$430,7,FALSE)</f>
        <v>0.47</v>
      </c>
      <c r="AK144" s="1074">
        <f>VLOOKUP(B144,Sheet1!D$2:L$430,8,FALSE)</f>
        <v>20000</v>
      </c>
      <c r="AL144" s="1109">
        <f>O144</f>
        <v>0</v>
      </c>
      <c r="AM144" s="1074">
        <v>0</v>
      </c>
      <c r="AN144" s="1085">
        <f t="shared" si="64"/>
        <v>0</v>
      </c>
      <c r="AO144" s="1074">
        <f t="shared" si="64"/>
        <v>0</v>
      </c>
      <c r="AP144" s="1080"/>
    </row>
    <row r="145" spans="1:42" outlineLevel="1" x14ac:dyDescent="0.2">
      <c r="F145" s="1088" t="s">
        <v>3100</v>
      </c>
      <c r="M145" s="1094"/>
      <c r="O145" s="1077">
        <f>SUBTOTAL(9,O140:O144)</f>
        <v>0</v>
      </c>
      <c r="Q145" s="1074">
        <f>SUBTOTAL(9,Q140:Q144)</f>
        <v>8833.14</v>
      </c>
      <c r="R145" s="1074"/>
      <c r="S145" s="1074"/>
      <c r="T145" s="1074"/>
      <c r="U145" s="1074"/>
      <c r="V145" s="1074"/>
      <c r="W145" s="1074"/>
      <c r="X145" s="1074"/>
      <c r="Y145" s="1074"/>
      <c r="Z145" s="1074"/>
      <c r="AA145" s="1074"/>
      <c r="AB145" s="1074"/>
      <c r="AC145" s="1074"/>
      <c r="AD145" s="1074"/>
      <c r="AE145" s="1074"/>
      <c r="AF145" s="1074"/>
      <c r="AG145" s="1095">
        <f t="shared" ref="AG145:AM145" si="65">SUBTOTAL(9,AG140:AG144)</f>
        <v>106382.38999999998</v>
      </c>
      <c r="AH145" s="1074">
        <f t="shared" si="65"/>
        <v>26499.42</v>
      </c>
      <c r="AI145" s="1074">
        <f t="shared" si="65"/>
        <v>132881.81</v>
      </c>
      <c r="AJ145" s="1077">
        <f t="shared" si="65"/>
        <v>1.7641176470588236</v>
      </c>
      <c r="AK145" s="1074">
        <f t="shared" si="65"/>
        <v>144000</v>
      </c>
      <c r="AL145" s="1109">
        <f t="shared" si="65"/>
        <v>0.60000000000000009</v>
      </c>
      <c r="AM145" s="1074">
        <f t="shared" si="65"/>
        <v>118808.5698</v>
      </c>
      <c r="AP145" s="1080">
        <f>SUBTOTAL(9,AP140:AP144)</f>
        <v>0</v>
      </c>
    </row>
    <row r="146" spans="1:42" outlineLevel="2" x14ac:dyDescent="0.2">
      <c r="A146" s="1075">
        <v>506</v>
      </c>
      <c r="B146" s="1075">
        <v>30048390</v>
      </c>
      <c r="C146" s="1075">
        <v>300483906</v>
      </c>
      <c r="D146" s="1075" t="s">
        <v>2112</v>
      </c>
      <c r="E146" s="1075" t="s">
        <v>2314</v>
      </c>
      <c r="F146" s="1075">
        <v>812512</v>
      </c>
      <c r="G146" s="1075" t="s">
        <v>2384</v>
      </c>
      <c r="H146" s="1075">
        <v>90534</v>
      </c>
      <c r="I146" s="1075">
        <v>1</v>
      </c>
      <c r="J146" s="1075">
        <v>0</v>
      </c>
      <c r="K146" s="1075">
        <v>0</v>
      </c>
      <c r="L146" s="1075">
        <v>0</v>
      </c>
      <c r="M146" s="1094" t="s">
        <v>2774</v>
      </c>
      <c r="N146" s="1094" t="s">
        <v>2774</v>
      </c>
      <c r="O146" s="1077">
        <v>0</v>
      </c>
      <c r="Q146" s="1074">
        <v>0</v>
      </c>
      <c r="R146" s="1074"/>
      <c r="S146" s="1074"/>
      <c r="T146" s="1074"/>
      <c r="U146" s="1074"/>
      <c r="V146" s="1074"/>
      <c r="W146" s="1074"/>
      <c r="X146" s="1074"/>
      <c r="Y146" s="1074"/>
      <c r="Z146" s="1074"/>
      <c r="AA146" s="1074"/>
      <c r="AB146" s="1074"/>
      <c r="AC146" s="1074"/>
      <c r="AD146" s="1074"/>
      <c r="AE146" s="1074"/>
      <c r="AF146" s="1074"/>
      <c r="AG146" s="1095">
        <f>VLOOKUP(B146,עזר!A$2:B$329,2,FALSE)</f>
        <v>14608.67</v>
      </c>
      <c r="AH146" s="1074">
        <f>Q146*3</f>
        <v>0</v>
      </c>
      <c r="AI146" s="1074">
        <f>AH146+AG146</f>
        <v>14608.67</v>
      </c>
      <c r="AJ146" s="1077">
        <v>0</v>
      </c>
      <c r="AK146" s="1074">
        <v>0</v>
      </c>
      <c r="AL146" s="1109">
        <f>O146</f>
        <v>0</v>
      </c>
      <c r="AM146" s="1074">
        <v>0</v>
      </c>
      <c r="AN146" s="1085">
        <f>AL146</f>
        <v>0</v>
      </c>
      <c r="AO146" s="1074">
        <f>AM146</f>
        <v>0</v>
      </c>
      <c r="AP146" s="1080"/>
    </row>
    <row r="147" spans="1:42" outlineLevel="2" x14ac:dyDescent="0.2">
      <c r="A147" s="1075">
        <v>506</v>
      </c>
      <c r="B147" s="1075">
        <v>30266159</v>
      </c>
      <c r="C147" s="1075">
        <v>302661590</v>
      </c>
      <c r="D147" s="1075" t="s">
        <v>2393</v>
      </c>
      <c r="E147" s="1075" t="s">
        <v>1502</v>
      </c>
      <c r="F147" s="1075">
        <v>812512</v>
      </c>
      <c r="G147" s="1075" t="s">
        <v>2384</v>
      </c>
      <c r="H147" s="1075">
        <v>90534</v>
      </c>
      <c r="I147" s="1075">
        <v>1</v>
      </c>
      <c r="J147" s="1075">
        <v>0</v>
      </c>
      <c r="K147" s="1075">
        <v>0</v>
      </c>
      <c r="L147" s="1075">
        <v>0</v>
      </c>
      <c r="M147" s="1094" t="s">
        <v>2774</v>
      </c>
      <c r="N147" s="1094" t="s">
        <v>2774</v>
      </c>
      <c r="O147" s="1077">
        <v>0</v>
      </c>
      <c r="Q147" s="1074">
        <v>0</v>
      </c>
      <c r="R147" s="1074"/>
      <c r="S147" s="1074"/>
      <c r="T147" s="1074"/>
      <c r="U147" s="1074"/>
      <c r="V147" s="1074"/>
      <c r="W147" s="1074"/>
      <c r="X147" s="1074"/>
      <c r="Y147" s="1074"/>
      <c r="Z147" s="1074"/>
      <c r="AA147" s="1074"/>
      <c r="AB147" s="1074"/>
      <c r="AC147" s="1074"/>
      <c r="AD147" s="1074"/>
      <c r="AE147" s="1074"/>
      <c r="AF147" s="1074"/>
      <c r="AG147" s="1095">
        <f>VLOOKUP(B147,עזר!A$2:B$329,2,FALSE)</f>
        <v>35389.199999999997</v>
      </c>
      <c r="AH147" s="1074">
        <f>Q147*3</f>
        <v>0</v>
      </c>
      <c r="AI147" s="1074">
        <f>AH147+AG147</f>
        <v>35389.199999999997</v>
      </c>
      <c r="AJ147" s="1077" t="str">
        <f>VLOOKUP(B147,Sheet1!D$2:K$430,7,FALSE)</f>
        <v>שעתי</v>
      </c>
      <c r="AK147" s="1074">
        <f>VLOOKUP(B147,Sheet1!D$2:L$430,8,FALSE)</f>
        <v>24000</v>
      </c>
      <c r="AL147" s="1109">
        <f>O147</f>
        <v>0</v>
      </c>
      <c r="AM147" s="1074">
        <v>0</v>
      </c>
      <c r="AN147" s="1085">
        <f>AL147</f>
        <v>0</v>
      </c>
      <c r="AO147" s="1074">
        <f>AM147</f>
        <v>0</v>
      </c>
      <c r="AP147" s="1080"/>
    </row>
    <row r="148" spans="1:42" outlineLevel="2" x14ac:dyDescent="0.2">
      <c r="A148" s="1075">
        <v>506</v>
      </c>
      <c r="D148" s="1075" t="s">
        <v>2784</v>
      </c>
      <c r="F148" s="1075">
        <v>812512</v>
      </c>
      <c r="M148" s="1094" t="s">
        <v>2774</v>
      </c>
      <c r="N148" s="1094" t="s">
        <v>2774</v>
      </c>
      <c r="Q148" s="1074"/>
      <c r="R148" s="1074"/>
      <c r="S148" s="1074"/>
      <c r="T148" s="1074"/>
      <c r="U148" s="1074"/>
      <c r="V148" s="1074"/>
      <c r="W148" s="1074"/>
      <c r="X148" s="1074"/>
      <c r="Y148" s="1074"/>
      <c r="Z148" s="1074"/>
      <c r="AA148" s="1074"/>
      <c r="AB148" s="1074"/>
      <c r="AC148" s="1074"/>
      <c r="AD148" s="1074"/>
      <c r="AE148" s="1074"/>
      <c r="AF148" s="1074"/>
      <c r="AG148" s="1095"/>
      <c r="AH148" s="1074"/>
      <c r="AI148" s="1074"/>
      <c r="AK148" s="1074"/>
      <c r="AL148" s="1109"/>
      <c r="AM148" s="1074">
        <v>132520</v>
      </c>
      <c r="AO148" s="1074">
        <f>AM148</f>
        <v>132520</v>
      </c>
      <c r="AP148" s="1080"/>
    </row>
    <row r="149" spans="1:42" outlineLevel="1" x14ac:dyDescent="0.2">
      <c r="F149" s="1088" t="s">
        <v>3101</v>
      </c>
      <c r="M149" s="1094"/>
      <c r="N149" s="1094"/>
      <c r="O149" s="1077">
        <f>SUBTOTAL(9,O146:O148)</f>
        <v>0</v>
      </c>
      <c r="Q149" s="1074">
        <f>SUBTOTAL(9,Q146:Q148)</f>
        <v>0</v>
      </c>
      <c r="R149" s="1074"/>
      <c r="S149" s="1074"/>
      <c r="T149" s="1074"/>
      <c r="U149" s="1074"/>
      <c r="V149" s="1074"/>
      <c r="W149" s="1074"/>
      <c r="X149" s="1074"/>
      <c r="Y149" s="1074"/>
      <c r="Z149" s="1074"/>
      <c r="AA149" s="1074"/>
      <c r="AB149" s="1074"/>
      <c r="AC149" s="1074"/>
      <c r="AD149" s="1074"/>
      <c r="AE149" s="1074"/>
      <c r="AF149" s="1074"/>
      <c r="AG149" s="1095">
        <f t="shared" ref="AG149:AM149" si="66">SUBTOTAL(9,AG146:AG148)</f>
        <v>49997.869999999995</v>
      </c>
      <c r="AH149" s="1074">
        <f t="shared" si="66"/>
        <v>0</v>
      </c>
      <c r="AI149" s="1074">
        <f t="shared" si="66"/>
        <v>49997.869999999995</v>
      </c>
      <c r="AJ149" s="1077">
        <f t="shared" si="66"/>
        <v>0</v>
      </c>
      <c r="AK149" s="1074">
        <f t="shared" si="66"/>
        <v>24000</v>
      </c>
      <c r="AL149" s="1109">
        <f t="shared" si="66"/>
        <v>0</v>
      </c>
      <c r="AM149" s="1074">
        <f t="shared" si="66"/>
        <v>132520</v>
      </c>
      <c r="AP149" s="1080">
        <f>SUBTOTAL(9,AP146:AP148)</f>
        <v>0</v>
      </c>
    </row>
    <row r="150" spans="1:42" outlineLevel="2" x14ac:dyDescent="0.2">
      <c r="A150" s="1075">
        <v>506</v>
      </c>
      <c r="B150" s="1075">
        <v>2617868</v>
      </c>
      <c r="C150" s="1075">
        <v>26178681</v>
      </c>
      <c r="D150" s="1075" t="s">
        <v>2117</v>
      </c>
      <c r="E150" s="1075" t="s">
        <v>2394</v>
      </c>
      <c r="F150" s="1075">
        <v>812513</v>
      </c>
      <c r="G150" s="1075" t="s">
        <v>2384</v>
      </c>
      <c r="H150" s="1075">
        <v>90534</v>
      </c>
      <c r="I150" s="1075">
        <v>0</v>
      </c>
      <c r="J150" s="1075">
        <v>3</v>
      </c>
      <c r="K150" s="1075">
        <v>2</v>
      </c>
      <c r="L150" s="1075">
        <v>0</v>
      </c>
      <c r="M150" s="1094" t="s">
        <v>1504</v>
      </c>
      <c r="N150" s="1075" t="s">
        <v>3174</v>
      </c>
      <c r="O150" s="1077">
        <f>800/900</f>
        <v>0.88888888888888884</v>
      </c>
      <c r="Q150" s="1074">
        <v>0</v>
      </c>
      <c r="R150" s="1074"/>
      <c r="S150" s="1074"/>
      <c r="T150" s="1074"/>
      <c r="U150" s="1074"/>
      <c r="V150" s="1074"/>
      <c r="W150" s="1074"/>
      <c r="X150" s="1074"/>
      <c r="Y150" s="1074"/>
      <c r="Z150" s="1074"/>
      <c r="AA150" s="1074"/>
      <c r="AB150" s="1074"/>
      <c r="AC150" s="1074"/>
      <c r="AD150" s="1074"/>
      <c r="AE150" s="1074"/>
      <c r="AF150" s="1074"/>
      <c r="AG150" s="1095">
        <f>VLOOKUP(B150,עזר!A$2:B$329,2,FALSE)</f>
        <v>73378.83</v>
      </c>
      <c r="AH150" s="1074">
        <f>Q150*3</f>
        <v>0</v>
      </c>
      <c r="AI150" s="1074">
        <f>AH150+AG150</f>
        <v>73378.83</v>
      </c>
      <c r="AJ150" s="1077">
        <f>VLOOKUP(B150,Sheet1!D$2:K$430,7,FALSE)</f>
        <v>1</v>
      </c>
      <c r="AK150" s="1074">
        <f>VLOOKUP(B150,Sheet1!D$2:L$430,8,FALSE)</f>
        <v>117000</v>
      </c>
      <c r="AL150" s="1109">
        <v>1</v>
      </c>
      <c r="AM150" s="1074">
        <v>130000</v>
      </c>
      <c r="AN150" s="1085">
        <f t="shared" ref="AN150:AO154" si="67">AL150</f>
        <v>1</v>
      </c>
      <c r="AO150" s="1074">
        <f t="shared" si="67"/>
        <v>130000</v>
      </c>
      <c r="AP150" s="1080"/>
    </row>
    <row r="151" spans="1:42" outlineLevel="2" x14ac:dyDescent="0.2">
      <c r="A151" s="1075">
        <v>506</v>
      </c>
      <c r="B151" s="1075">
        <v>5468927</v>
      </c>
      <c r="C151" s="1075">
        <v>54689278</v>
      </c>
      <c r="D151" s="1075" t="s">
        <v>2395</v>
      </c>
      <c r="E151" s="1075" t="s">
        <v>2396</v>
      </c>
      <c r="F151" s="1075">
        <v>812513</v>
      </c>
      <c r="G151" s="1075" t="s">
        <v>2384</v>
      </c>
      <c r="H151" s="1075">
        <v>90534</v>
      </c>
      <c r="I151" s="1075">
        <v>1</v>
      </c>
      <c r="J151" s="1075">
        <v>0</v>
      </c>
      <c r="K151" s="1075">
        <v>0</v>
      </c>
      <c r="L151" s="1075">
        <v>0</v>
      </c>
      <c r="M151" s="1094" t="s">
        <v>1504</v>
      </c>
      <c r="N151" s="1075" t="s">
        <v>3174</v>
      </c>
      <c r="O151" s="1077">
        <v>0</v>
      </c>
      <c r="Q151" s="1074">
        <v>0</v>
      </c>
      <c r="R151" s="1074"/>
      <c r="S151" s="1074"/>
      <c r="T151" s="1074"/>
      <c r="U151" s="1074"/>
      <c r="V151" s="1074"/>
      <c r="W151" s="1074"/>
      <c r="X151" s="1074"/>
      <c r="Y151" s="1074"/>
      <c r="Z151" s="1074"/>
      <c r="AA151" s="1074"/>
      <c r="AB151" s="1074"/>
      <c r="AC151" s="1074"/>
      <c r="AD151" s="1074"/>
      <c r="AE151" s="1074"/>
      <c r="AF151" s="1074"/>
      <c r="AG151" s="1095">
        <f>VLOOKUP(B151,עזר!A$2:B$329,2,FALSE)</f>
        <v>3994.2</v>
      </c>
      <c r="AH151" s="1074">
        <f>Q151*3</f>
        <v>0</v>
      </c>
      <c r="AI151" s="1074">
        <f>AH151+AG151</f>
        <v>3994.2</v>
      </c>
      <c r="AJ151" s="1077">
        <v>0</v>
      </c>
      <c r="AK151" s="1074">
        <v>0</v>
      </c>
      <c r="AL151" s="1109">
        <v>0.2</v>
      </c>
      <c r="AM151" s="1074">
        <v>0</v>
      </c>
      <c r="AN151" s="1085">
        <f t="shared" si="67"/>
        <v>0.2</v>
      </c>
      <c r="AO151" s="1074">
        <f t="shared" si="67"/>
        <v>0</v>
      </c>
      <c r="AP151" s="1080"/>
    </row>
    <row r="152" spans="1:42" outlineLevel="2" x14ac:dyDescent="0.2">
      <c r="A152" s="1075">
        <v>506</v>
      </c>
      <c r="B152" s="1075">
        <v>20064680</v>
      </c>
      <c r="C152" s="1075">
        <v>200646800</v>
      </c>
      <c r="D152" s="1075" t="s">
        <v>2304</v>
      </c>
      <c r="E152" s="1075" t="s">
        <v>2397</v>
      </c>
      <c r="F152" s="1075">
        <v>812513</v>
      </c>
      <c r="G152" s="1075" t="s">
        <v>2384</v>
      </c>
      <c r="H152" s="1075">
        <v>90534</v>
      </c>
      <c r="I152" s="1075">
        <v>1</v>
      </c>
      <c r="J152" s="1075">
        <v>0</v>
      </c>
      <c r="K152" s="1075">
        <v>0</v>
      </c>
      <c r="L152" s="1075">
        <v>0</v>
      </c>
      <c r="M152" s="1094" t="s">
        <v>1504</v>
      </c>
      <c r="N152" s="1075" t="s">
        <v>3174</v>
      </c>
      <c r="O152" s="1077">
        <v>0</v>
      </c>
      <c r="Q152" s="1074">
        <v>0</v>
      </c>
      <c r="R152" s="1074"/>
      <c r="S152" s="1074"/>
      <c r="T152" s="1074"/>
      <c r="U152" s="1074"/>
      <c r="V152" s="1074"/>
      <c r="W152" s="1074"/>
      <c r="X152" s="1074"/>
      <c r="Y152" s="1074"/>
      <c r="Z152" s="1074"/>
      <c r="AA152" s="1074"/>
      <c r="AB152" s="1074"/>
      <c r="AC152" s="1074"/>
      <c r="AD152" s="1074"/>
      <c r="AE152" s="1074"/>
      <c r="AF152" s="1074"/>
      <c r="AG152" s="1095">
        <f>VLOOKUP(B152,עזר!A$2:B$329,2,FALSE)</f>
        <v>10724.42</v>
      </c>
      <c r="AH152" s="1074">
        <f>Q152*3</f>
        <v>0</v>
      </c>
      <c r="AI152" s="1074">
        <f>AH152+AG152</f>
        <v>10724.42</v>
      </c>
      <c r="AJ152" s="1077">
        <v>0</v>
      </c>
      <c r="AK152" s="1074">
        <v>0</v>
      </c>
      <c r="AL152" s="1109">
        <v>0.2</v>
      </c>
      <c r="AM152" s="1074">
        <v>0</v>
      </c>
      <c r="AN152" s="1085">
        <f t="shared" si="67"/>
        <v>0.2</v>
      </c>
      <c r="AO152" s="1074">
        <f t="shared" si="67"/>
        <v>0</v>
      </c>
      <c r="AP152" s="1080"/>
    </row>
    <row r="153" spans="1:42" outlineLevel="2" x14ac:dyDescent="0.2">
      <c r="A153" s="1075">
        <v>506</v>
      </c>
      <c r="B153" s="1078">
        <v>20412261</v>
      </c>
      <c r="C153" s="1075">
        <v>204122618</v>
      </c>
      <c r="D153" s="1075" t="s">
        <v>1419</v>
      </c>
      <c r="E153" s="1075" t="s">
        <v>2161</v>
      </c>
      <c r="F153" s="1075">
        <v>812513</v>
      </c>
      <c r="G153" s="1075" t="s">
        <v>2107</v>
      </c>
      <c r="H153" s="1075">
        <v>90534</v>
      </c>
      <c r="I153" s="1075">
        <v>1</v>
      </c>
      <c r="J153" s="1075">
        <v>0</v>
      </c>
      <c r="K153" s="1075">
        <v>0</v>
      </c>
      <c r="L153" s="1075">
        <v>0</v>
      </c>
      <c r="M153" s="1094" t="s">
        <v>1504</v>
      </c>
      <c r="N153" s="1075" t="s">
        <v>3174</v>
      </c>
      <c r="O153" s="1077">
        <f>P153/100</f>
        <v>0</v>
      </c>
      <c r="P153" s="1075">
        <v>0</v>
      </c>
      <c r="Q153" s="1074">
        <v>3094.23</v>
      </c>
      <c r="R153" s="1074">
        <v>319.35000000000002</v>
      </c>
      <c r="S153" s="1074">
        <v>86.28</v>
      </c>
      <c r="T153" s="1074">
        <v>2501</v>
      </c>
      <c r="U153" s="1074">
        <v>0</v>
      </c>
      <c r="V153" s="1074">
        <v>0</v>
      </c>
      <c r="W153" s="1074">
        <v>0</v>
      </c>
      <c r="X153" s="1074">
        <v>0</v>
      </c>
      <c r="Y153" s="1074">
        <v>135.55000000000001</v>
      </c>
      <c r="Z153" s="1074">
        <v>0</v>
      </c>
      <c r="AA153" s="1074">
        <v>2365.4499999999998</v>
      </c>
      <c r="AB153" s="1074">
        <v>187.6</v>
      </c>
      <c r="AC153" s="1074">
        <v>0</v>
      </c>
      <c r="AD153" s="1074">
        <v>0</v>
      </c>
      <c r="AE153" s="1074">
        <v>1812513</v>
      </c>
      <c r="AF153" s="1074" t="s">
        <v>251</v>
      </c>
      <c r="AG153" s="1095">
        <f>VLOOKUP(B153,עזר!A$2:B$329,2,FALSE)</f>
        <v>26724.34</v>
      </c>
      <c r="AH153" s="1074">
        <f>Q153*3</f>
        <v>9282.69</v>
      </c>
      <c r="AI153" s="1074">
        <f>AH153+AG153</f>
        <v>36007.03</v>
      </c>
      <c r="AJ153" s="1077">
        <v>0</v>
      </c>
      <c r="AK153" s="1074">
        <v>0</v>
      </c>
      <c r="AL153" s="1109">
        <v>0.2</v>
      </c>
      <c r="AM153" s="1074">
        <v>0</v>
      </c>
      <c r="AN153" s="1085">
        <f t="shared" si="67"/>
        <v>0.2</v>
      </c>
      <c r="AO153" s="1074">
        <f t="shared" si="67"/>
        <v>0</v>
      </c>
      <c r="AP153" s="1080"/>
    </row>
    <row r="154" spans="1:42" outlineLevel="2" x14ac:dyDescent="0.2">
      <c r="A154" s="1075">
        <v>506</v>
      </c>
      <c r="B154" s="1078">
        <v>99999</v>
      </c>
      <c r="C154" s="1075">
        <v>999999</v>
      </c>
      <c r="D154" s="1110" t="s">
        <v>2784</v>
      </c>
      <c r="E154" s="1110" t="s">
        <v>1501</v>
      </c>
      <c r="F154" s="1075">
        <v>812513</v>
      </c>
      <c r="M154" s="1094" t="s">
        <v>1504</v>
      </c>
      <c r="N154" s="1075" t="s">
        <v>3174</v>
      </c>
      <c r="O154" s="1077">
        <v>0</v>
      </c>
      <c r="Q154" s="1085">
        <v>0</v>
      </c>
      <c r="R154" s="1085"/>
      <c r="S154" s="1085"/>
      <c r="T154" s="1085"/>
      <c r="U154" s="1085"/>
      <c r="V154" s="1085"/>
      <c r="W154" s="1085"/>
      <c r="X154" s="1085"/>
      <c r="Y154" s="1085"/>
      <c r="Z154" s="1085"/>
      <c r="AA154" s="1085"/>
      <c r="AB154" s="1085"/>
      <c r="AC154" s="1085"/>
      <c r="AD154" s="1085"/>
      <c r="AE154" s="1085"/>
      <c r="AF154" s="1085"/>
      <c r="AG154" s="1096">
        <v>0</v>
      </c>
      <c r="AH154" s="1085">
        <f>Q154*3</f>
        <v>0</v>
      </c>
      <c r="AI154" s="1085">
        <v>0</v>
      </c>
      <c r="AJ154" s="1077" t="s">
        <v>2780</v>
      </c>
      <c r="AK154" s="1074">
        <v>75000</v>
      </c>
      <c r="AL154" s="1109">
        <v>0.2</v>
      </c>
      <c r="AM154" s="1074">
        <v>126727</v>
      </c>
      <c r="AN154" s="1085">
        <f t="shared" si="67"/>
        <v>0.2</v>
      </c>
      <c r="AO154" s="1074">
        <f t="shared" si="67"/>
        <v>126727</v>
      </c>
      <c r="AP154" s="1080"/>
    </row>
    <row r="155" spans="1:42" outlineLevel="1" x14ac:dyDescent="0.2">
      <c r="B155" s="1078"/>
      <c r="F155" s="1088" t="s">
        <v>3102</v>
      </c>
      <c r="M155" s="1094"/>
      <c r="O155" s="1077">
        <f>SUBTOTAL(9,O150:O154)</f>
        <v>0.88888888888888884</v>
      </c>
      <c r="Q155" s="1085">
        <f>SUBTOTAL(9,Q150:Q154)</f>
        <v>3094.23</v>
      </c>
      <c r="R155" s="1085"/>
      <c r="S155" s="1085"/>
      <c r="T155" s="1085"/>
      <c r="U155" s="1085"/>
      <c r="V155" s="1085"/>
      <c r="W155" s="1085"/>
      <c r="X155" s="1085"/>
      <c r="Y155" s="1085"/>
      <c r="Z155" s="1085"/>
      <c r="AA155" s="1085"/>
      <c r="AB155" s="1085"/>
      <c r="AC155" s="1085"/>
      <c r="AD155" s="1085"/>
      <c r="AE155" s="1085"/>
      <c r="AF155" s="1085"/>
      <c r="AG155" s="1096">
        <f t="shared" ref="AG155:AM155" si="68">SUBTOTAL(9,AG150:AG154)</f>
        <v>114821.79</v>
      </c>
      <c r="AH155" s="1085">
        <f t="shared" si="68"/>
        <v>9282.69</v>
      </c>
      <c r="AI155" s="1085">
        <f t="shared" si="68"/>
        <v>124104.48</v>
      </c>
      <c r="AJ155" s="1077">
        <f t="shared" si="68"/>
        <v>1</v>
      </c>
      <c r="AK155" s="1074">
        <f t="shared" si="68"/>
        <v>192000</v>
      </c>
      <c r="AL155" s="1109">
        <f t="shared" si="68"/>
        <v>1.7999999999999998</v>
      </c>
      <c r="AM155" s="1074">
        <f t="shared" si="68"/>
        <v>256727</v>
      </c>
      <c r="AP155" s="1080">
        <f>SUBTOTAL(9,AP150:AP154)</f>
        <v>0</v>
      </c>
    </row>
    <row r="156" spans="1:42" outlineLevel="1" x14ac:dyDescent="0.2">
      <c r="A156" s="1075">
        <v>506</v>
      </c>
      <c r="B156" s="1078"/>
      <c r="D156" s="1075" t="s">
        <v>1832</v>
      </c>
      <c r="E156" s="1075" t="s">
        <v>1509</v>
      </c>
      <c r="F156" s="1120">
        <v>812517</v>
      </c>
      <c r="M156" s="1094"/>
      <c r="Q156" s="1085"/>
      <c r="R156" s="1085"/>
      <c r="S156" s="1085"/>
      <c r="T156" s="1085"/>
      <c r="U156" s="1085"/>
      <c r="V156" s="1085"/>
      <c r="W156" s="1085"/>
      <c r="X156" s="1085"/>
      <c r="Y156" s="1085"/>
      <c r="Z156" s="1085"/>
      <c r="AA156" s="1085"/>
      <c r="AB156" s="1085"/>
      <c r="AC156" s="1085"/>
      <c r="AD156" s="1085"/>
      <c r="AE156" s="1085"/>
      <c r="AF156" s="1085"/>
      <c r="AG156" s="1096"/>
      <c r="AH156" s="1085"/>
      <c r="AI156" s="1085"/>
      <c r="AK156" s="1074"/>
      <c r="AL156" s="1109"/>
      <c r="AM156" s="1074">
        <v>0</v>
      </c>
      <c r="AP156" s="1080"/>
    </row>
    <row r="157" spans="1:42" outlineLevel="1" x14ac:dyDescent="0.2">
      <c r="B157" s="1078"/>
      <c r="F157" s="1088">
        <v>812517</v>
      </c>
      <c r="M157" s="1094"/>
      <c r="Q157" s="1085"/>
      <c r="R157" s="1085"/>
      <c r="S157" s="1085"/>
      <c r="T157" s="1085"/>
      <c r="U157" s="1085"/>
      <c r="V157" s="1085"/>
      <c r="W157" s="1085"/>
      <c r="X157" s="1085"/>
      <c r="Y157" s="1085"/>
      <c r="Z157" s="1085"/>
      <c r="AA157" s="1085"/>
      <c r="AB157" s="1085"/>
      <c r="AC157" s="1085"/>
      <c r="AD157" s="1085"/>
      <c r="AE157" s="1085"/>
      <c r="AF157" s="1085"/>
      <c r="AG157" s="1096"/>
      <c r="AH157" s="1085"/>
      <c r="AI157" s="1085"/>
      <c r="AK157" s="1074"/>
      <c r="AL157" s="1109"/>
      <c r="AM157" s="1074">
        <f>AM156</f>
        <v>0</v>
      </c>
      <c r="AP157" s="1080"/>
    </row>
    <row r="158" spans="1:42" outlineLevel="2" x14ac:dyDescent="0.2">
      <c r="A158" s="1075">
        <v>506</v>
      </c>
      <c r="B158" s="1078">
        <v>3599882</v>
      </c>
      <c r="C158" s="1075">
        <v>35998822</v>
      </c>
      <c r="D158" s="1075" t="s">
        <v>1419</v>
      </c>
      <c r="E158" s="1075" t="s">
        <v>2140</v>
      </c>
      <c r="F158" s="1075">
        <v>812600</v>
      </c>
      <c r="G158" s="1075" t="s">
        <v>2107</v>
      </c>
      <c r="H158" s="1075">
        <v>90534</v>
      </c>
      <c r="I158" s="1075">
        <v>0</v>
      </c>
      <c r="J158" s="1075">
        <v>5</v>
      </c>
      <c r="K158" s="1075">
        <v>7</v>
      </c>
      <c r="L158" s="1075">
        <v>0</v>
      </c>
      <c r="M158" s="1075" t="s">
        <v>3070</v>
      </c>
      <c r="N158" s="1075" t="s">
        <v>3172</v>
      </c>
      <c r="O158" s="1077">
        <f>P158/100</f>
        <v>0.85</v>
      </c>
      <c r="P158" s="1075">
        <v>85</v>
      </c>
      <c r="Q158" s="1074">
        <v>6947.67</v>
      </c>
      <c r="R158" s="1074">
        <v>1092.71</v>
      </c>
      <c r="S158" s="1074">
        <v>182.07</v>
      </c>
      <c r="T158" s="1074">
        <v>5277.13</v>
      </c>
      <c r="U158" s="1074">
        <v>0</v>
      </c>
      <c r="V158" s="1074">
        <v>0</v>
      </c>
      <c r="W158" s="1074">
        <v>0</v>
      </c>
      <c r="X158" s="1074">
        <v>0</v>
      </c>
      <c r="Y158" s="1074">
        <v>41.3</v>
      </c>
      <c r="Z158" s="1074">
        <v>0</v>
      </c>
      <c r="AA158" s="1074">
        <v>5235.83</v>
      </c>
      <c r="AB158" s="1074">
        <v>395.76</v>
      </c>
      <c r="AC158" s="1074">
        <v>0</v>
      </c>
      <c r="AD158" s="1074">
        <v>0</v>
      </c>
      <c r="AE158" s="1074">
        <v>1812203</v>
      </c>
      <c r="AF158" s="1074" t="s">
        <v>251</v>
      </c>
      <c r="AG158" s="1095">
        <f>VLOOKUP(B158,עזר!A$2:B$329,2,FALSE)</f>
        <v>70617.05</v>
      </c>
      <c r="AH158" s="1074">
        <f>Q158*3</f>
        <v>20843.010000000002</v>
      </c>
      <c r="AI158" s="1074">
        <f>AH158+AG158</f>
        <v>91460.06</v>
      </c>
      <c r="AJ158" s="1077">
        <f>VLOOKUP(B158,Sheet1!D$2:K$430,7,FALSE)</f>
        <v>0.85</v>
      </c>
      <c r="AK158" s="1074">
        <f>VLOOKUP(B158,Sheet1!D$2:L$430,8,FALSE)</f>
        <v>90000</v>
      </c>
      <c r="AL158" s="1109">
        <f>O158</f>
        <v>0.85</v>
      </c>
      <c r="AM158" s="1074">
        <f>AI158*1.02</f>
        <v>93289.261199999994</v>
      </c>
      <c r="AN158" s="1085">
        <f t="shared" ref="AN158:AO162" si="69">AL158</f>
        <v>0.85</v>
      </c>
      <c r="AO158" s="1074">
        <f t="shared" si="69"/>
        <v>93289.261199999994</v>
      </c>
      <c r="AP158" s="1080"/>
    </row>
    <row r="159" spans="1:42" outlineLevel="2" x14ac:dyDescent="0.2">
      <c r="A159" s="1075">
        <v>506</v>
      </c>
      <c r="B159" s="1078">
        <v>5944677</v>
      </c>
      <c r="C159" s="1075">
        <v>59446773</v>
      </c>
      <c r="D159" s="1075" t="s">
        <v>1564</v>
      </c>
      <c r="E159" s="1075" t="s">
        <v>2141</v>
      </c>
      <c r="F159" s="1075">
        <v>812600</v>
      </c>
      <c r="G159" s="1075" t="s">
        <v>2107</v>
      </c>
      <c r="H159" s="1075">
        <v>90534</v>
      </c>
      <c r="I159" s="1075">
        <v>0</v>
      </c>
      <c r="J159" s="1075">
        <v>5</v>
      </c>
      <c r="K159" s="1075">
        <v>4</v>
      </c>
      <c r="L159" s="1075">
        <v>0</v>
      </c>
      <c r="M159" s="1075" t="s">
        <v>3070</v>
      </c>
      <c r="N159" s="1075" t="s">
        <v>3172</v>
      </c>
      <c r="O159" s="1077">
        <f>P159/100</f>
        <v>0.83</v>
      </c>
      <c r="P159" s="1075">
        <v>83</v>
      </c>
      <c r="Q159" s="1074">
        <v>6166.68</v>
      </c>
      <c r="R159" s="1074">
        <v>978.02</v>
      </c>
      <c r="S159" s="1074">
        <v>161.34</v>
      </c>
      <c r="T159" s="1074">
        <v>4676.59</v>
      </c>
      <c r="U159" s="1074">
        <v>0</v>
      </c>
      <c r="V159" s="1074">
        <v>0</v>
      </c>
      <c r="W159" s="1074">
        <v>0</v>
      </c>
      <c r="X159" s="1074">
        <v>0</v>
      </c>
      <c r="Y159" s="1074">
        <v>25.2</v>
      </c>
      <c r="Z159" s="1074">
        <v>0</v>
      </c>
      <c r="AA159" s="1074">
        <v>4651.3900000000003</v>
      </c>
      <c r="AB159" s="1074">
        <v>350.73</v>
      </c>
      <c r="AC159" s="1074">
        <v>0</v>
      </c>
      <c r="AD159" s="1074">
        <v>0</v>
      </c>
      <c r="AE159" s="1074">
        <v>1812203</v>
      </c>
      <c r="AF159" s="1074" t="s">
        <v>251</v>
      </c>
      <c r="AG159" s="1095">
        <f>VLOOKUP(B159,עזר!A$2:B$329,2,FALSE)</f>
        <v>58410.83</v>
      </c>
      <c r="AH159" s="1074">
        <f>Q159*3</f>
        <v>18500.04</v>
      </c>
      <c r="AI159" s="1074">
        <f>AH159+AG159</f>
        <v>76910.87</v>
      </c>
      <c r="AJ159" s="1077">
        <f>VLOOKUP(B159,Sheet1!D$2:K$430,7,FALSE)</f>
        <v>0.82</v>
      </c>
      <c r="AK159" s="1074">
        <f>VLOOKUP(B159,Sheet1!D$2:L$430,8,FALSE)</f>
        <v>60000</v>
      </c>
      <c r="AL159" s="1109">
        <f>O159</f>
        <v>0.83</v>
      </c>
      <c r="AM159" s="1074">
        <f>AI159*1.02</f>
        <v>78449.087399999989</v>
      </c>
      <c r="AN159" s="1085">
        <f t="shared" si="69"/>
        <v>0.83</v>
      </c>
      <c r="AO159" s="1074">
        <f t="shared" si="69"/>
        <v>78449.087399999989</v>
      </c>
      <c r="AP159" s="1080"/>
    </row>
    <row r="160" spans="1:42" outlineLevel="2" x14ac:dyDescent="0.2">
      <c r="A160" s="1075">
        <v>506</v>
      </c>
      <c r="B160" s="1078">
        <v>2310370</v>
      </c>
      <c r="C160" s="1075">
        <v>23103708</v>
      </c>
      <c r="D160" s="1075" t="s">
        <v>2290</v>
      </c>
      <c r="E160" s="1075" t="s">
        <v>2126</v>
      </c>
      <c r="F160" s="1075">
        <v>812600</v>
      </c>
      <c r="G160" s="1075" t="s">
        <v>2107</v>
      </c>
      <c r="H160" s="1075">
        <v>90534</v>
      </c>
      <c r="I160" s="1075">
        <v>0</v>
      </c>
      <c r="J160" s="1075">
        <v>5</v>
      </c>
      <c r="K160" s="1075">
        <v>6</v>
      </c>
      <c r="L160" s="1075">
        <v>0</v>
      </c>
      <c r="M160" s="1075" t="s">
        <v>3070</v>
      </c>
      <c r="N160" s="1075" t="s">
        <v>3172</v>
      </c>
      <c r="O160" s="1077">
        <f>P160/100</f>
        <v>0.83</v>
      </c>
      <c r="P160" s="1075">
        <v>83</v>
      </c>
      <c r="Q160" s="1074">
        <v>6923.77</v>
      </c>
      <c r="R160" s="1074">
        <v>1079.4000000000001</v>
      </c>
      <c r="S160" s="1074">
        <v>181.73</v>
      </c>
      <c r="T160" s="1074">
        <v>5267.59</v>
      </c>
      <c r="U160" s="1074">
        <v>0</v>
      </c>
      <c r="V160" s="1074">
        <v>0</v>
      </c>
      <c r="W160" s="1074">
        <v>0</v>
      </c>
      <c r="X160" s="1074">
        <v>0</v>
      </c>
      <c r="Y160" s="1074">
        <v>112.75</v>
      </c>
      <c r="Z160" s="1074">
        <v>0</v>
      </c>
      <c r="AA160" s="1074">
        <v>5154.84</v>
      </c>
      <c r="AB160" s="1074">
        <v>395.05</v>
      </c>
      <c r="AC160" s="1074">
        <v>0</v>
      </c>
      <c r="AD160" s="1074">
        <v>0</v>
      </c>
      <c r="AE160" s="1074">
        <v>1812600</v>
      </c>
      <c r="AF160" s="1074" t="s">
        <v>251</v>
      </c>
      <c r="AG160" s="1095">
        <f>VLOOKUP(B160,עזר!A$2:B$329,2,FALSE)</f>
        <v>69234.7</v>
      </c>
      <c r="AH160" s="1074">
        <f>Q160*3</f>
        <v>20771.310000000001</v>
      </c>
      <c r="AI160" s="1074">
        <f>AH160+AG160</f>
        <v>90006.01</v>
      </c>
      <c r="AJ160" s="1077">
        <f>VLOOKUP(B160,Sheet1!D$2:K$430,7,FALSE)</f>
        <v>0.83</v>
      </c>
      <c r="AK160" s="1074">
        <f>VLOOKUP(B160,Sheet1!D$2:L$430,8,FALSE)</f>
        <v>82000</v>
      </c>
      <c r="AL160" s="1109">
        <f>O160</f>
        <v>0.83</v>
      </c>
      <c r="AM160" s="1074">
        <f>AI160*1.02</f>
        <v>91806.1302</v>
      </c>
      <c r="AN160" s="1085">
        <f t="shared" si="69"/>
        <v>0.83</v>
      </c>
      <c r="AO160" s="1074">
        <f t="shared" si="69"/>
        <v>91806.1302</v>
      </c>
      <c r="AP160" s="1080"/>
    </row>
    <row r="161" spans="1:42" outlineLevel="2" x14ac:dyDescent="0.2">
      <c r="A161" s="1075">
        <v>506</v>
      </c>
      <c r="B161" s="1078">
        <v>3599882</v>
      </c>
      <c r="C161" s="1075">
        <v>35998822</v>
      </c>
      <c r="D161" s="1075" t="s">
        <v>1419</v>
      </c>
      <c r="E161" s="1075" t="s">
        <v>2140</v>
      </c>
      <c r="F161" s="1075">
        <v>812600</v>
      </c>
      <c r="G161" s="1075" t="s">
        <v>2107</v>
      </c>
      <c r="H161" s="1075">
        <v>90534</v>
      </c>
      <c r="I161" s="1075">
        <v>1</v>
      </c>
      <c r="J161" s="1075">
        <v>0</v>
      </c>
      <c r="K161" s="1075">
        <v>0</v>
      </c>
      <c r="L161" s="1075">
        <v>0</v>
      </c>
      <c r="M161" s="1075" t="s">
        <v>3070</v>
      </c>
      <c r="N161" s="1075" t="s">
        <v>3172</v>
      </c>
      <c r="O161" s="1077">
        <f>P161/100</f>
        <v>0</v>
      </c>
      <c r="P161" s="1075">
        <v>0</v>
      </c>
      <c r="Q161" s="1074">
        <v>101.03</v>
      </c>
      <c r="R161" s="1074">
        <v>4.34</v>
      </c>
      <c r="S161" s="1074">
        <v>3</v>
      </c>
      <c r="T161" s="1074">
        <v>87.15</v>
      </c>
      <c r="U161" s="1074">
        <v>0</v>
      </c>
      <c r="V161" s="1074">
        <v>0</v>
      </c>
      <c r="W161" s="1074">
        <v>0</v>
      </c>
      <c r="X161" s="1074">
        <v>0</v>
      </c>
      <c r="Y161" s="1074">
        <v>87.15</v>
      </c>
      <c r="Z161" s="1074">
        <v>0</v>
      </c>
      <c r="AA161" s="1074">
        <v>0</v>
      </c>
      <c r="AB161" s="1074">
        <v>6.54</v>
      </c>
      <c r="AC161" s="1074">
        <v>0</v>
      </c>
      <c r="AD161" s="1074">
        <v>0</v>
      </c>
      <c r="AE161" s="1074">
        <v>1812600</v>
      </c>
      <c r="AF161" s="1074" t="s">
        <v>251</v>
      </c>
      <c r="AG161" s="1095">
        <v>0</v>
      </c>
      <c r="AH161" s="1074">
        <f>Q161*3</f>
        <v>303.09000000000003</v>
      </c>
      <c r="AI161" s="1074">
        <f>AH161+AG161</f>
        <v>303.09000000000003</v>
      </c>
      <c r="AJ161" s="1077">
        <f>VLOOKUP(B161,Sheet1!D$2:K$430,7,FALSE)</f>
        <v>0.85</v>
      </c>
      <c r="AK161" s="1074">
        <f>VLOOKUP(B161,Sheet1!D$2:L$430,8,FALSE)</f>
        <v>90000</v>
      </c>
      <c r="AL161" s="1109">
        <f>O161</f>
        <v>0</v>
      </c>
      <c r="AM161" s="1074">
        <v>0</v>
      </c>
      <c r="AN161" s="1085">
        <f t="shared" si="69"/>
        <v>0</v>
      </c>
      <c r="AO161" s="1074">
        <f t="shared" si="69"/>
        <v>0</v>
      </c>
      <c r="AP161" s="1080"/>
    </row>
    <row r="162" spans="1:42" outlineLevel="2" x14ac:dyDescent="0.2">
      <c r="A162" s="1075">
        <v>506</v>
      </c>
      <c r="B162" s="1078">
        <v>5944677</v>
      </c>
      <c r="C162" s="1075">
        <v>59446773</v>
      </c>
      <c r="D162" s="1075" t="s">
        <v>1564</v>
      </c>
      <c r="E162" s="1075" t="s">
        <v>2141</v>
      </c>
      <c r="F162" s="1075">
        <v>812600</v>
      </c>
      <c r="G162" s="1075" t="s">
        <v>2107</v>
      </c>
      <c r="H162" s="1075">
        <v>90534</v>
      </c>
      <c r="I162" s="1075">
        <v>1</v>
      </c>
      <c r="J162" s="1075">
        <v>0</v>
      </c>
      <c r="K162" s="1075">
        <v>0</v>
      </c>
      <c r="L162" s="1075">
        <v>0</v>
      </c>
      <c r="M162" s="1075" t="s">
        <v>3070</v>
      </c>
      <c r="N162" s="1075" t="s">
        <v>3172</v>
      </c>
      <c r="O162" s="1077">
        <f>P162/100</f>
        <v>0</v>
      </c>
      <c r="P162" s="1075">
        <v>0</v>
      </c>
      <c r="Q162" s="1074">
        <v>-470.42</v>
      </c>
      <c r="R162" s="1074">
        <v>-85.27</v>
      </c>
      <c r="S162" s="1074">
        <v>-11.97</v>
      </c>
      <c r="T162" s="1074">
        <v>-347.15</v>
      </c>
      <c r="U162" s="1074">
        <v>0</v>
      </c>
      <c r="V162" s="1074">
        <v>0</v>
      </c>
      <c r="W162" s="1074">
        <v>0</v>
      </c>
      <c r="X162" s="1074">
        <v>0</v>
      </c>
      <c r="Y162" s="1074">
        <v>77.45</v>
      </c>
      <c r="Z162" s="1074">
        <v>0</v>
      </c>
      <c r="AA162" s="1074">
        <v>-424.6</v>
      </c>
      <c r="AB162" s="1074">
        <v>-26.03</v>
      </c>
      <c r="AC162" s="1074">
        <v>0</v>
      </c>
      <c r="AD162" s="1074">
        <v>0</v>
      </c>
      <c r="AE162" s="1074">
        <v>1812600</v>
      </c>
      <c r="AF162" s="1074" t="s">
        <v>251</v>
      </c>
      <c r="AG162" s="1095">
        <v>0</v>
      </c>
      <c r="AH162" s="1074">
        <f>Q162*3</f>
        <v>-1411.26</v>
      </c>
      <c r="AI162" s="1074">
        <f>AH162+AG162</f>
        <v>-1411.26</v>
      </c>
      <c r="AJ162" s="1077">
        <f>VLOOKUP(B162,Sheet1!D$2:K$430,7,FALSE)</f>
        <v>0.82</v>
      </c>
      <c r="AK162" s="1074">
        <f>VLOOKUP(B162,Sheet1!D$2:L$430,8,FALSE)</f>
        <v>60000</v>
      </c>
      <c r="AL162" s="1109">
        <f>O162</f>
        <v>0</v>
      </c>
      <c r="AM162" s="1074">
        <v>0</v>
      </c>
      <c r="AN162" s="1085">
        <f t="shared" si="69"/>
        <v>0</v>
      </c>
      <c r="AO162" s="1074">
        <f t="shared" si="69"/>
        <v>0</v>
      </c>
      <c r="AP162" s="1080"/>
    </row>
    <row r="163" spans="1:42" outlineLevel="1" x14ac:dyDescent="0.2">
      <c r="B163" s="1078"/>
      <c r="F163" s="1088" t="s">
        <v>3103</v>
      </c>
      <c r="O163" s="1077">
        <f>SUBTOTAL(9,O158:O162)</f>
        <v>2.5099999999999998</v>
      </c>
      <c r="Q163" s="1074">
        <f>SUBTOTAL(9,Q158:Q162)</f>
        <v>19668.730000000003</v>
      </c>
      <c r="R163" s="1074"/>
      <c r="S163" s="1074"/>
      <c r="T163" s="1074"/>
      <c r="U163" s="1074"/>
      <c r="V163" s="1074"/>
      <c r="W163" s="1074"/>
      <c r="X163" s="1074"/>
      <c r="Y163" s="1074"/>
      <c r="Z163" s="1074"/>
      <c r="AA163" s="1074"/>
      <c r="AB163" s="1074"/>
      <c r="AC163" s="1074"/>
      <c r="AD163" s="1074"/>
      <c r="AE163" s="1074"/>
      <c r="AF163" s="1074"/>
      <c r="AG163" s="1095">
        <f t="shared" ref="AG163:AM163" si="70">SUBTOTAL(9,AG158:AG162)</f>
        <v>198262.58000000002</v>
      </c>
      <c r="AH163" s="1074">
        <f t="shared" si="70"/>
        <v>59006.189999999995</v>
      </c>
      <c r="AI163" s="1074">
        <f t="shared" si="70"/>
        <v>257268.77</v>
      </c>
      <c r="AJ163" s="1077">
        <f t="shared" si="70"/>
        <v>4.17</v>
      </c>
      <c r="AK163" s="1074">
        <f t="shared" si="70"/>
        <v>382000</v>
      </c>
      <c r="AL163" s="1109">
        <f t="shared" si="70"/>
        <v>2.5099999999999998</v>
      </c>
      <c r="AM163" s="1074">
        <f t="shared" si="70"/>
        <v>263544.47879999998</v>
      </c>
      <c r="AP163" s="1080">
        <f>SUBTOTAL(9,AP158:AP162)</f>
        <v>0</v>
      </c>
    </row>
    <row r="164" spans="1:42" outlineLevel="2" x14ac:dyDescent="0.2">
      <c r="A164" s="1075">
        <v>506</v>
      </c>
      <c r="B164" s="1078">
        <v>2767428</v>
      </c>
      <c r="C164" s="1075">
        <v>27674282</v>
      </c>
      <c r="D164" s="1075" t="s">
        <v>1419</v>
      </c>
      <c r="E164" s="1075" t="s">
        <v>1513</v>
      </c>
      <c r="F164" s="1075">
        <v>813200</v>
      </c>
      <c r="G164" s="1075" t="s">
        <v>2107</v>
      </c>
      <c r="H164" s="1075">
        <v>90534</v>
      </c>
      <c r="I164" s="1075">
        <v>0</v>
      </c>
      <c r="J164" s="1075">
        <v>5</v>
      </c>
      <c r="K164" s="1075">
        <v>5</v>
      </c>
      <c r="L164" s="1075">
        <v>0</v>
      </c>
      <c r="M164" s="1075" t="s">
        <v>3175</v>
      </c>
      <c r="N164" s="1075" t="s">
        <v>2778</v>
      </c>
      <c r="O164" s="1077">
        <f>P164/100</f>
        <v>1</v>
      </c>
      <c r="P164" s="1075">
        <v>100</v>
      </c>
      <c r="Q164" s="1074">
        <v>7110.92</v>
      </c>
      <c r="R164" s="1074">
        <v>1126.82</v>
      </c>
      <c r="S164" s="1074">
        <v>186.08</v>
      </c>
      <c r="T164" s="1074">
        <v>5393.49</v>
      </c>
      <c r="U164" s="1074">
        <v>0</v>
      </c>
      <c r="V164" s="1074">
        <v>0</v>
      </c>
      <c r="W164" s="1074">
        <v>0</v>
      </c>
      <c r="X164" s="1074">
        <v>0</v>
      </c>
      <c r="Y164" s="1074">
        <v>36.450000000000003</v>
      </c>
      <c r="Z164" s="1074">
        <v>0</v>
      </c>
      <c r="AA164" s="1074">
        <v>5357.04</v>
      </c>
      <c r="AB164" s="1074">
        <v>404.53</v>
      </c>
      <c r="AC164" s="1074">
        <v>0</v>
      </c>
      <c r="AD164" s="1074">
        <v>0</v>
      </c>
      <c r="AE164" s="1074">
        <v>1813200</v>
      </c>
      <c r="AF164" s="1074" t="s">
        <v>251</v>
      </c>
      <c r="AG164" s="1095">
        <v>0</v>
      </c>
      <c r="AH164" s="1074">
        <f>Q164*3</f>
        <v>21332.760000000002</v>
      </c>
      <c r="AI164" s="1074">
        <f>AH164+AG164</f>
        <v>21332.760000000002</v>
      </c>
      <c r="AJ164" s="1077">
        <f>VLOOKUP(B164,Sheet1!D$2:K$430,7,FALSE)</f>
        <v>0.5</v>
      </c>
      <c r="AK164" s="1074">
        <f>VLOOKUP(B164,Sheet1!D$2:L$430,8,FALSE)</f>
        <v>35000</v>
      </c>
      <c r="AL164" s="1109">
        <v>0</v>
      </c>
      <c r="AM164" s="1074">
        <v>0</v>
      </c>
      <c r="AN164" s="1085">
        <f t="shared" ref="AN164:AO167" si="71">AL164</f>
        <v>0</v>
      </c>
      <c r="AO164" s="1074">
        <f t="shared" si="71"/>
        <v>0</v>
      </c>
      <c r="AP164" s="1080"/>
    </row>
    <row r="165" spans="1:42" outlineLevel="2" x14ac:dyDescent="0.2">
      <c r="A165" s="1075">
        <v>506</v>
      </c>
      <c r="B165" s="1078">
        <v>5703171</v>
      </c>
      <c r="C165" s="1075">
        <v>57031718</v>
      </c>
      <c r="D165" s="1075" t="s">
        <v>2123</v>
      </c>
      <c r="E165" s="1075" t="s">
        <v>2162</v>
      </c>
      <c r="F165" s="1075">
        <v>813200</v>
      </c>
      <c r="G165" s="1075" t="s">
        <v>2107</v>
      </c>
      <c r="H165" s="1075">
        <v>90534</v>
      </c>
      <c r="I165" s="1075">
        <v>0</v>
      </c>
      <c r="J165" s="1075">
        <v>5</v>
      </c>
      <c r="K165" s="1075">
        <v>5</v>
      </c>
      <c r="L165" s="1075">
        <v>0</v>
      </c>
      <c r="M165" s="1075" t="s">
        <v>3175</v>
      </c>
      <c r="N165" s="1075" t="s">
        <v>2778</v>
      </c>
      <c r="O165" s="1077">
        <f>P165/100</f>
        <v>1</v>
      </c>
      <c r="P165" s="1075">
        <v>100</v>
      </c>
      <c r="Q165" s="1074">
        <v>8228.61</v>
      </c>
      <c r="R165" s="1074">
        <v>1225</v>
      </c>
      <c r="S165" s="1074">
        <v>237.03</v>
      </c>
      <c r="T165" s="1074">
        <v>6294.48</v>
      </c>
      <c r="U165" s="1074">
        <v>0</v>
      </c>
      <c r="V165" s="1074">
        <v>0</v>
      </c>
      <c r="W165" s="1074">
        <v>0</v>
      </c>
      <c r="X165" s="1074">
        <v>0</v>
      </c>
      <c r="Y165" s="1074">
        <v>249.45</v>
      </c>
      <c r="Z165" s="1074">
        <v>759.25</v>
      </c>
      <c r="AA165" s="1074">
        <v>5285.78</v>
      </c>
      <c r="AB165" s="1074">
        <v>472.1</v>
      </c>
      <c r="AC165" s="1074">
        <v>0</v>
      </c>
      <c r="AD165" s="1074">
        <v>0</v>
      </c>
      <c r="AE165" s="1074">
        <v>1813200</v>
      </c>
      <c r="AF165" s="1074" t="s">
        <v>251</v>
      </c>
      <c r="AG165" s="1095">
        <f>VLOOKUP(B165,עזר!A$2:B$329,2,FALSE)</f>
        <v>77224.990000000005</v>
      </c>
      <c r="AH165" s="1074">
        <f>Q165*3</f>
        <v>24685.83</v>
      </c>
      <c r="AI165" s="1074">
        <f>AH165+AG165</f>
        <v>101910.82</v>
      </c>
      <c r="AJ165" s="1077">
        <f>VLOOKUP(B165,Sheet1!D$2:K$430,7,FALSE)</f>
        <v>1</v>
      </c>
      <c r="AK165" s="1074">
        <f>VLOOKUP(B165,Sheet1!D$2:L$430,8,FALSE)</f>
        <v>96000</v>
      </c>
      <c r="AL165" s="1109">
        <f>O165</f>
        <v>1</v>
      </c>
      <c r="AM165" s="1074">
        <f>AI165*1.02</f>
        <v>103949.03640000001</v>
      </c>
      <c r="AN165" s="1085">
        <f t="shared" si="71"/>
        <v>1</v>
      </c>
      <c r="AO165" s="1074">
        <f t="shared" si="71"/>
        <v>103949.03640000001</v>
      </c>
      <c r="AP165" s="1080"/>
    </row>
    <row r="166" spans="1:42" outlineLevel="2" x14ac:dyDescent="0.2">
      <c r="A166" s="1075">
        <v>506</v>
      </c>
      <c r="B166" s="1078">
        <v>5938504</v>
      </c>
      <c r="C166" s="1075">
        <v>59385047</v>
      </c>
      <c r="D166" s="1075" t="s">
        <v>1390</v>
      </c>
      <c r="E166" s="1075" t="s">
        <v>2163</v>
      </c>
      <c r="F166" s="1075">
        <v>813200</v>
      </c>
      <c r="G166" s="1075" t="s">
        <v>2107</v>
      </c>
      <c r="H166" s="1075">
        <v>90534</v>
      </c>
      <c r="I166" s="1075">
        <v>0</v>
      </c>
      <c r="J166" s="1075">
        <v>5</v>
      </c>
      <c r="K166" s="1075">
        <v>9</v>
      </c>
      <c r="L166" s="1075">
        <v>0</v>
      </c>
      <c r="M166" s="1075" t="s">
        <v>3175</v>
      </c>
      <c r="N166" s="1075" t="s">
        <v>2778</v>
      </c>
      <c r="O166" s="1077">
        <f>P166/100</f>
        <v>1</v>
      </c>
      <c r="P166" s="1075">
        <v>100</v>
      </c>
      <c r="Q166" s="1074">
        <v>15457.49</v>
      </c>
      <c r="R166" s="1074">
        <v>1316.2</v>
      </c>
      <c r="S166" s="1074">
        <v>702.52</v>
      </c>
      <c r="T166" s="1074">
        <v>12501.17</v>
      </c>
      <c r="U166" s="1074">
        <v>0</v>
      </c>
      <c r="V166" s="1074">
        <v>0</v>
      </c>
      <c r="W166" s="1074">
        <v>0</v>
      </c>
      <c r="X166" s="1074">
        <v>1034.9000000000001</v>
      </c>
      <c r="Y166" s="1074">
        <v>388.6</v>
      </c>
      <c r="Z166" s="1074">
        <v>0</v>
      </c>
      <c r="AA166" s="1074">
        <v>11077.67</v>
      </c>
      <c r="AB166" s="1074">
        <v>937.6</v>
      </c>
      <c r="AC166" s="1074">
        <v>0</v>
      </c>
      <c r="AD166" s="1074">
        <v>0</v>
      </c>
      <c r="AE166" s="1074">
        <v>1813200</v>
      </c>
      <c r="AF166" s="1074" t="s">
        <v>251</v>
      </c>
      <c r="AG166" s="1095">
        <f>VLOOKUP(B166,עזר!A$2:B$329,2,FALSE)</f>
        <v>124841.14</v>
      </c>
      <c r="AH166" s="1074">
        <f>Q166*3</f>
        <v>46372.47</v>
      </c>
      <c r="AI166" s="1074">
        <f>AH166+AG166</f>
        <v>171213.61</v>
      </c>
      <c r="AJ166" s="1077">
        <f>VLOOKUP(B166,Sheet1!D$2:K$430,7,FALSE)</f>
        <v>1</v>
      </c>
      <c r="AK166" s="1074">
        <v>130000</v>
      </c>
      <c r="AL166" s="1109">
        <f>O166</f>
        <v>1</v>
      </c>
      <c r="AM166" s="1074">
        <v>0</v>
      </c>
      <c r="AN166" s="1085">
        <f t="shared" si="71"/>
        <v>1</v>
      </c>
      <c r="AO166" s="1074">
        <f t="shared" si="71"/>
        <v>0</v>
      </c>
      <c r="AP166" s="1080"/>
    </row>
    <row r="167" spans="1:42" outlineLevel="2" x14ac:dyDescent="0.2">
      <c r="A167" s="1075">
        <v>506</v>
      </c>
      <c r="B167" s="1078">
        <v>5992866</v>
      </c>
      <c r="C167" s="1075">
        <v>59928663</v>
      </c>
      <c r="D167" s="1075" t="s">
        <v>2164</v>
      </c>
      <c r="E167" s="1075" t="s">
        <v>2165</v>
      </c>
      <c r="F167" s="1075">
        <v>813200</v>
      </c>
      <c r="G167" s="1075" t="s">
        <v>2107</v>
      </c>
      <c r="H167" s="1075">
        <v>90534</v>
      </c>
      <c r="I167" s="1075">
        <v>0</v>
      </c>
      <c r="J167" s="1075">
        <v>5</v>
      </c>
      <c r="K167" s="1075">
        <v>6</v>
      </c>
      <c r="L167" s="1075">
        <v>0</v>
      </c>
      <c r="M167" s="1075" t="s">
        <v>3175</v>
      </c>
      <c r="N167" s="1075" t="s">
        <v>2778</v>
      </c>
      <c r="O167" s="1077">
        <f>P167/100</f>
        <v>1</v>
      </c>
      <c r="P167" s="1075">
        <v>100</v>
      </c>
      <c r="Q167" s="1074">
        <v>7756.48</v>
      </c>
      <c r="R167" s="1074">
        <v>1211.1500000000001</v>
      </c>
      <c r="S167" s="1074">
        <v>207.14</v>
      </c>
      <c r="T167" s="1074">
        <v>5895.99</v>
      </c>
      <c r="U167" s="1074">
        <v>0</v>
      </c>
      <c r="V167" s="1074">
        <v>0</v>
      </c>
      <c r="W167" s="1074">
        <v>0</v>
      </c>
      <c r="X167" s="1074">
        <v>0</v>
      </c>
      <c r="Y167" s="1074">
        <v>168.4</v>
      </c>
      <c r="Z167" s="1074">
        <v>0</v>
      </c>
      <c r="AA167" s="1074">
        <v>5727.59</v>
      </c>
      <c r="AB167" s="1074">
        <v>442.2</v>
      </c>
      <c r="AC167" s="1074">
        <v>0</v>
      </c>
      <c r="AD167" s="1074">
        <v>0</v>
      </c>
      <c r="AE167" s="1074">
        <v>1813200</v>
      </c>
      <c r="AF167" s="1074" t="s">
        <v>251</v>
      </c>
      <c r="AG167" s="1095">
        <f>VLOOKUP(B167,עזר!A$2:B$329,2,FALSE)</f>
        <v>85236.34</v>
      </c>
      <c r="AH167" s="1074">
        <f>Q167*3</f>
        <v>23269.439999999999</v>
      </c>
      <c r="AI167" s="1074">
        <f>AH167+AG167</f>
        <v>108505.78</v>
      </c>
      <c r="AJ167" s="1077">
        <f>VLOOKUP(B167,Sheet1!D$2:K$430,7,FALSE)</f>
        <v>1</v>
      </c>
      <c r="AK167" s="1074">
        <f>VLOOKUP(B167,Sheet1!D$2:L$430,8,FALSE)</f>
        <v>96000</v>
      </c>
      <c r="AL167" s="1109">
        <f>O167</f>
        <v>1</v>
      </c>
      <c r="AM167" s="1074">
        <f>AI167*1.02</f>
        <v>110675.8956</v>
      </c>
      <c r="AN167" s="1085">
        <f t="shared" si="71"/>
        <v>1</v>
      </c>
      <c r="AO167" s="1074">
        <f t="shared" si="71"/>
        <v>110675.8956</v>
      </c>
      <c r="AP167" s="1080"/>
    </row>
    <row r="168" spans="1:42" outlineLevel="2" x14ac:dyDescent="0.2">
      <c r="A168" s="1075">
        <v>506</v>
      </c>
      <c r="B168" s="1078" t="s">
        <v>3068</v>
      </c>
      <c r="D168" s="1075" t="s">
        <v>3147</v>
      </c>
      <c r="E168" s="1075" t="s">
        <v>3148</v>
      </c>
      <c r="F168" s="1075">
        <v>813200</v>
      </c>
      <c r="M168" s="1075" t="s">
        <v>3175</v>
      </c>
      <c r="N168" s="1075" t="s">
        <v>2778</v>
      </c>
      <c r="O168" s="1077">
        <v>0</v>
      </c>
      <c r="Q168" s="1074">
        <v>0</v>
      </c>
      <c r="R168" s="1074"/>
      <c r="S168" s="1074"/>
      <c r="T168" s="1074"/>
      <c r="U168" s="1074"/>
      <c r="V168" s="1074"/>
      <c r="W168" s="1074"/>
      <c r="X168" s="1074"/>
      <c r="Y168" s="1074"/>
      <c r="Z168" s="1074"/>
      <c r="AA168" s="1074"/>
      <c r="AB168" s="1074"/>
      <c r="AC168" s="1074"/>
      <c r="AD168" s="1074"/>
      <c r="AE168" s="1074"/>
      <c r="AF168" s="1074"/>
      <c r="AG168" s="1095">
        <v>0</v>
      </c>
      <c r="AH168" s="1074">
        <f>Q168*3</f>
        <v>0</v>
      </c>
      <c r="AI168" s="1074">
        <v>0</v>
      </c>
      <c r="AJ168" s="1077">
        <v>0</v>
      </c>
      <c r="AK168" s="1074">
        <v>0</v>
      </c>
      <c r="AL168" s="1109">
        <v>1</v>
      </c>
      <c r="AM168" s="1074">
        <f>8000*12</f>
        <v>96000</v>
      </c>
      <c r="AN168" s="1085">
        <v>1</v>
      </c>
      <c r="AO168" s="1074">
        <f>8000*12</f>
        <v>96000</v>
      </c>
      <c r="AP168" s="1080"/>
    </row>
    <row r="169" spans="1:42" outlineLevel="1" x14ac:dyDescent="0.2">
      <c r="B169" s="1078"/>
      <c r="F169" s="1088" t="s">
        <v>3104</v>
      </c>
      <c r="O169" s="1077">
        <f>SUBTOTAL(9,O164:O168)</f>
        <v>4</v>
      </c>
      <c r="Q169" s="1074">
        <f>SUBTOTAL(9,Q164:Q168)</f>
        <v>38553.5</v>
      </c>
      <c r="R169" s="1074"/>
      <c r="S169" s="1074"/>
      <c r="T169" s="1074"/>
      <c r="U169" s="1074"/>
      <c r="V169" s="1074"/>
      <c r="W169" s="1074"/>
      <c r="X169" s="1074"/>
      <c r="Y169" s="1074"/>
      <c r="Z169" s="1074"/>
      <c r="AA169" s="1074"/>
      <c r="AB169" s="1074"/>
      <c r="AC169" s="1074"/>
      <c r="AD169" s="1074"/>
      <c r="AE169" s="1074"/>
      <c r="AF169" s="1074"/>
      <c r="AG169" s="1095">
        <f t="shared" ref="AG169:AM169" si="72">SUBTOTAL(9,AG164:AG168)</f>
        <v>287302.46999999997</v>
      </c>
      <c r="AH169" s="1074">
        <f t="shared" si="72"/>
        <v>115660.5</v>
      </c>
      <c r="AI169" s="1074">
        <f t="shared" si="72"/>
        <v>402962.97</v>
      </c>
      <c r="AJ169" s="1077">
        <f t="shared" si="72"/>
        <v>3.5</v>
      </c>
      <c r="AK169" s="1074">
        <f t="shared" si="72"/>
        <v>357000</v>
      </c>
      <c r="AL169" s="1109">
        <f t="shared" si="72"/>
        <v>4</v>
      </c>
      <c r="AM169" s="1074">
        <f t="shared" si="72"/>
        <v>310624.93200000003</v>
      </c>
      <c r="AP169" s="1080">
        <f>SUBTOTAL(9,AP164:AP168)</f>
        <v>0</v>
      </c>
    </row>
    <row r="170" spans="1:42" outlineLevel="2" x14ac:dyDescent="0.2">
      <c r="A170" s="1075">
        <v>506</v>
      </c>
      <c r="B170" s="1078">
        <v>2318530</v>
      </c>
      <c r="C170" s="1075">
        <v>23185309</v>
      </c>
      <c r="D170" s="1075" t="s">
        <v>932</v>
      </c>
      <c r="E170" s="1075" t="s">
        <v>2166</v>
      </c>
      <c r="F170" s="1075">
        <v>813201</v>
      </c>
      <c r="G170" s="1075" t="s">
        <v>2107</v>
      </c>
      <c r="H170" s="1075">
        <v>90534</v>
      </c>
      <c r="I170" s="1075">
        <v>0</v>
      </c>
      <c r="J170" s="1075">
        <v>5</v>
      </c>
      <c r="K170" s="1075">
        <v>8</v>
      </c>
      <c r="L170" s="1075">
        <v>0</v>
      </c>
      <c r="M170" s="1075" t="s">
        <v>3176</v>
      </c>
      <c r="N170" s="1075" t="s">
        <v>3177</v>
      </c>
      <c r="O170" s="1077">
        <f t="shared" ref="O170:O175" si="73">P170/100</f>
        <v>0.83</v>
      </c>
      <c r="P170" s="1075">
        <v>83</v>
      </c>
      <c r="Q170" s="1074">
        <v>7548.46</v>
      </c>
      <c r="R170" s="1074">
        <v>1252.7</v>
      </c>
      <c r="S170" s="1074">
        <v>195.77</v>
      </c>
      <c r="T170" s="1074">
        <v>5674.39</v>
      </c>
      <c r="U170" s="1074">
        <v>183.1</v>
      </c>
      <c r="V170" s="1074">
        <v>0</v>
      </c>
      <c r="W170" s="1074">
        <v>0</v>
      </c>
      <c r="X170" s="1074">
        <v>0</v>
      </c>
      <c r="Y170" s="1074">
        <v>204.95</v>
      </c>
      <c r="Z170" s="1074">
        <v>0</v>
      </c>
      <c r="AA170" s="1074">
        <v>5286.34</v>
      </c>
      <c r="AB170" s="1074">
        <v>425.6</v>
      </c>
      <c r="AC170" s="1074">
        <v>0</v>
      </c>
      <c r="AD170" s="1074">
        <v>0</v>
      </c>
      <c r="AE170" s="1074">
        <v>1813201</v>
      </c>
      <c r="AF170" s="1074" t="s">
        <v>251</v>
      </c>
      <c r="AG170" s="1095">
        <f>VLOOKUP(B170,עזר!A$2:B$329,2,FALSE)</f>
        <v>84933.21</v>
      </c>
      <c r="AH170" s="1074">
        <f t="shared" ref="AH170:AH176" si="74">Q170*3</f>
        <v>22645.38</v>
      </c>
      <c r="AI170" s="1074">
        <f t="shared" ref="AI170:AI176" si="75">AH170+AG170</f>
        <v>107578.59000000001</v>
      </c>
      <c r="AJ170" s="1077">
        <f>VLOOKUP(B170,Sheet1!D$2:K$430,7,FALSE)</f>
        <v>0.83</v>
      </c>
      <c r="AK170" s="1074">
        <f>VLOOKUP(B170,Sheet1!D$2:L$430,8,FALSE)</f>
        <v>90000</v>
      </c>
      <c r="AL170" s="1109">
        <f t="shared" ref="AL170:AL175" si="76">O170</f>
        <v>0.83</v>
      </c>
      <c r="AM170" s="1074">
        <f t="shared" ref="AM170:AM175" si="77">AI170*1.02</f>
        <v>109730.16180000002</v>
      </c>
      <c r="AN170" s="1085">
        <f t="shared" ref="AN170:AO176" si="78">AL170</f>
        <v>0.83</v>
      </c>
      <c r="AO170" s="1074">
        <f t="shared" si="78"/>
        <v>109730.16180000002</v>
      </c>
      <c r="AP170" s="1080"/>
    </row>
    <row r="171" spans="1:42" outlineLevel="2" x14ac:dyDescent="0.2">
      <c r="A171" s="1075">
        <v>506</v>
      </c>
      <c r="B171" s="1078">
        <v>2617588</v>
      </c>
      <c r="C171" s="1075">
        <v>26175885</v>
      </c>
      <c r="D171" s="1075" t="s">
        <v>2138</v>
      </c>
      <c r="E171" s="1075" t="s">
        <v>2167</v>
      </c>
      <c r="F171" s="1075">
        <v>813201</v>
      </c>
      <c r="G171" s="1075" t="s">
        <v>2107</v>
      </c>
      <c r="H171" s="1075">
        <v>90534</v>
      </c>
      <c r="I171" s="1075">
        <v>0</v>
      </c>
      <c r="J171" s="1075">
        <v>5</v>
      </c>
      <c r="K171" s="1075">
        <v>6</v>
      </c>
      <c r="L171" s="1075">
        <v>0</v>
      </c>
      <c r="M171" s="1075" t="s">
        <v>3176</v>
      </c>
      <c r="N171" s="1075" t="s">
        <v>3177</v>
      </c>
      <c r="O171" s="1077">
        <f t="shared" si="73"/>
        <v>0.5</v>
      </c>
      <c r="P171" s="1075">
        <v>50</v>
      </c>
      <c r="Q171" s="1074">
        <v>4579.2299999999996</v>
      </c>
      <c r="R171" s="1074">
        <v>705.85</v>
      </c>
      <c r="S171" s="1074">
        <v>120.44</v>
      </c>
      <c r="T171" s="1074">
        <v>3491.09</v>
      </c>
      <c r="U171" s="1074">
        <v>0</v>
      </c>
      <c r="V171" s="1074">
        <v>0</v>
      </c>
      <c r="W171" s="1074">
        <v>0</v>
      </c>
      <c r="X171" s="1074">
        <v>0</v>
      </c>
      <c r="Y171" s="1074">
        <v>170.75</v>
      </c>
      <c r="Z171" s="1074">
        <v>0</v>
      </c>
      <c r="AA171" s="1074">
        <v>3320.34</v>
      </c>
      <c r="AB171" s="1074">
        <v>261.85000000000002</v>
      </c>
      <c r="AC171" s="1074">
        <v>0</v>
      </c>
      <c r="AD171" s="1074">
        <v>0</v>
      </c>
      <c r="AE171" s="1074">
        <v>1813201</v>
      </c>
      <c r="AF171" s="1074" t="s">
        <v>251</v>
      </c>
      <c r="AG171" s="1095">
        <f>VLOOKUP(B171,עזר!A$2:B$329,2,FALSE)</f>
        <v>46613.71</v>
      </c>
      <c r="AH171" s="1074">
        <f t="shared" si="74"/>
        <v>13737.689999999999</v>
      </c>
      <c r="AI171" s="1074">
        <f t="shared" si="75"/>
        <v>60351.399999999994</v>
      </c>
      <c r="AJ171" s="1077">
        <f>VLOOKUP(B171,Sheet1!D$2:K$430,7,FALSE)</f>
        <v>0.6</v>
      </c>
      <c r="AK171" s="1074">
        <f>VLOOKUP(B171,Sheet1!D$2:L$430,8,FALSE)</f>
        <v>55000</v>
      </c>
      <c r="AL171" s="1109">
        <f t="shared" si="76"/>
        <v>0.5</v>
      </c>
      <c r="AM171" s="1074">
        <f t="shared" si="77"/>
        <v>61558.427999999993</v>
      </c>
      <c r="AN171" s="1085">
        <f t="shared" si="78"/>
        <v>0.5</v>
      </c>
      <c r="AO171" s="1074">
        <f t="shared" si="78"/>
        <v>61558.427999999993</v>
      </c>
      <c r="AP171" s="1080"/>
    </row>
    <row r="172" spans="1:42" outlineLevel="2" x14ac:dyDescent="0.2">
      <c r="A172" s="1075">
        <v>506</v>
      </c>
      <c r="B172" s="1078">
        <v>2996869</v>
      </c>
      <c r="C172" s="1075">
        <v>29968690</v>
      </c>
      <c r="D172" s="1075" t="s">
        <v>1709</v>
      </c>
      <c r="E172" s="1075" t="s">
        <v>2168</v>
      </c>
      <c r="F172" s="1075">
        <v>813201</v>
      </c>
      <c r="G172" s="1075" t="s">
        <v>2107</v>
      </c>
      <c r="H172" s="1075">
        <v>90534</v>
      </c>
      <c r="I172" s="1075">
        <v>0</v>
      </c>
      <c r="J172" s="1075">
        <v>5</v>
      </c>
      <c r="K172" s="1075">
        <v>8</v>
      </c>
      <c r="L172" s="1075">
        <v>0</v>
      </c>
      <c r="M172" s="1075" t="s">
        <v>3176</v>
      </c>
      <c r="N172" s="1075" t="s">
        <v>3177</v>
      </c>
      <c r="O172" s="1077">
        <f t="shared" si="73"/>
        <v>0.8</v>
      </c>
      <c r="P172" s="1075">
        <v>80</v>
      </c>
      <c r="Q172" s="1074">
        <v>6451.81</v>
      </c>
      <c r="R172" s="1074">
        <v>961.8</v>
      </c>
      <c r="S172" s="1074">
        <v>170.71</v>
      </c>
      <c r="T172" s="1074">
        <v>4948.2</v>
      </c>
      <c r="U172" s="1074">
        <v>183.7</v>
      </c>
      <c r="V172" s="1074">
        <v>0</v>
      </c>
      <c r="W172" s="1074">
        <v>442.3</v>
      </c>
      <c r="X172" s="1074">
        <v>0</v>
      </c>
      <c r="Y172" s="1074">
        <v>251.9</v>
      </c>
      <c r="Z172" s="1074">
        <v>0</v>
      </c>
      <c r="AA172" s="1074">
        <v>4070.3</v>
      </c>
      <c r="AB172" s="1074">
        <v>371.1</v>
      </c>
      <c r="AC172" s="1074">
        <v>0</v>
      </c>
      <c r="AD172" s="1074">
        <v>0</v>
      </c>
      <c r="AE172" s="1074">
        <v>1813201</v>
      </c>
      <c r="AF172" s="1074" t="s">
        <v>251</v>
      </c>
      <c r="AG172" s="1095">
        <f>VLOOKUP(B172,עזר!A$2:B$329,2,FALSE)</f>
        <v>65607.27</v>
      </c>
      <c r="AH172" s="1074">
        <f t="shared" si="74"/>
        <v>19355.43</v>
      </c>
      <c r="AI172" s="1074">
        <f t="shared" si="75"/>
        <v>84962.700000000012</v>
      </c>
      <c r="AJ172" s="1077">
        <f>VLOOKUP(B172,Sheet1!D$2:K$430,7,FALSE)</f>
        <v>0.8</v>
      </c>
      <c r="AK172" s="1074">
        <f>VLOOKUP(B172,Sheet1!D$2:L$430,8,FALSE)</f>
        <v>76000</v>
      </c>
      <c r="AL172" s="1109">
        <f t="shared" si="76"/>
        <v>0.8</v>
      </c>
      <c r="AM172" s="1074">
        <f t="shared" si="77"/>
        <v>86661.954000000012</v>
      </c>
      <c r="AN172" s="1085">
        <f t="shared" si="78"/>
        <v>0.8</v>
      </c>
      <c r="AO172" s="1074">
        <f t="shared" si="78"/>
        <v>86661.954000000012</v>
      </c>
      <c r="AP172" s="1080"/>
    </row>
    <row r="173" spans="1:42" outlineLevel="2" x14ac:dyDescent="0.2">
      <c r="A173" s="1075">
        <v>506</v>
      </c>
      <c r="B173" s="1078">
        <v>3996233</v>
      </c>
      <c r="C173" s="1075">
        <v>39962337</v>
      </c>
      <c r="D173" s="1075" t="s">
        <v>2164</v>
      </c>
      <c r="E173" s="1075" t="s">
        <v>2169</v>
      </c>
      <c r="F173" s="1075">
        <v>813201</v>
      </c>
      <c r="G173" s="1075" t="s">
        <v>2107</v>
      </c>
      <c r="H173" s="1075">
        <v>90534</v>
      </c>
      <c r="I173" s="1075">
        <v>0</v>
      </c>
      <c r="J173" s="1075">
        <v>5</v>
      </c>
      <c r="K173" s="1075">
        <v>8</v>
      </c>
      <c r="L173" s="1075">
        <v>0</v>
      </c>
      <c r="M173" s="1075" t="s">
        <v>3176</v>
      </c>
      <c r="N173" s="1075" t="s">
        <v>3177</v>
      </c>
      <c r="O173" s="1077">
        <f t="shared" si="73"/>
        <v>0.75</v>
      </c>
      <c r="P173" s="1075">
        <v>75</v>
      </c>
      <c r="Q173" s="1074">
        <v>6518.16</v>
      </c>
      <c r="R173" s="1074">
        <v>969.9</v>
      </c>
      <c r="S173" s="1074">
        <v>172.52</v>
      </c>
      <c r="T173" s="1074">
        <v>5000.6899999999996</v>
      </c>
      <c r="U173" s="1074">
        <v>249.45</v>
      </c>
      <c r="V173" s="1074">
        <v>0</v>
      </c>
      <c r="W173" s="1074">
        <v>0</v>
      </c>
      <c r="X173" s="1074">
        <v>0</v>
      </c>
      <c r="Y173" s="1074">
        <v>251.85</v>
      </c>
      <c r="Z173" s="1074">
        <v>0</v>
      </c>
      <c r="AA173" s="1074">
        <v>4499.3900000000003</v>
      </c>
      <c r="AB173" s="1074">
        <v>375.05</v>
      </c>
      <c r="AC173" s="1074">
        <v>0</v>
      </c>
      <c r="AD173" s="1074">
        <v>0</v>
      </c>
      <c r="AE173" s="1074">
        <v>1813201</v>
      </c>
      <c r="AF173" s="1074" t="s">
        <v>251</v>
      </c>
      <c r="AG173" s="1095">
        <f>VLOOKUP(B173,עזר!A$2:B$329,2,FALSE)</f>
        <v>66481.240000000005</v>
      </c>
      <c r="AH173" s="1074">
        <f t="shared" si="74"/>
        <v>19554.48</v>
      </c>
      <c r="AI173" s="1074">
        <f t="shared" si="75"/>
        <v>86035.72</v>
      </c>
      <c r="AJ173" s="1077">
        <f>VLOOKUP(B173,Sheet1!D$2:K$430,7,FALSE)</f>
        <v>0.75</v>
      </c>
      <c r="AK173" s="1074">
        <f>VLOOKUP(B173,Sheet1!D$2:L$430,8,FALSE)</f>
        <v>77000</v>
      </c>
      <c r="AL173" s="1109">
        <f t="shared" si="76"/>
        <v>0.75</v>
      </c>
      <c r="AM173" s="1074">
        <f t="shared" si="77"/>
        <v>87756.434399999998</v>
      </c>
      <c r="AN173" s="1085">
        <f t="shared" si="78"/>
        <v>0.75</v>
      </c>
      <c r="AO173" s="1074">
        <f t="shared" si="78"/>
        <v>87756.434399999998</v>
      </c>
      <c r="AP173" s="1080"/>
    </row>
    <row r="174" spans="1:42" outlineLevel="2" x14ac:dyDescent="0.2">
      <c r="A174" s="1075">
        <v>506</v>
      </c>
      <c r="B174" s="1078">
        <v>5439348</v>
      </c>
      <c r="C174" s="1075">
        <v>54393483</v>
      </c>
      <c r="D174" s="1075" t="s">
        <v>2170</v>
      </c>
      <c r="E174" s="1075" t="s">
        <v>2171</v>
      </c>
      <c r="F174" s="1075">
        <v>813201</v>
      </c>
      <c r="G174" s="1075" t="s">
        <v>2107</v>
      </c>
      <c r="H174" s="1075">
        <v>90534</v>
      </c>
      <c r="I174" s="1075">
        <v>0</v>
      </c>
      <c r="J174" s="1075">
        <v>72</v>
      </c>
      <c r="K174" s="1075">
        <v>40</v>
      </c>
      <c r="L174" s="1075">
        <v>0</v>
      </c>
      <c r="M174" s="1075" t="s">
        <v>3176</v>
      </c>
      <c r="N174" s="1075" t="s">
        <v>3177</v>
      </c>
      <c r="O174" s="1077">
        <f t="shared" si="73"/>
        <v>0.75</v>
      </c>
      <c r="P174" s="1075">
        <v>75</v>
      </c>
      <c r="Q174" s="1074">
        <v>12902.74</v>
      </c>
      <c r="R174" s="1074">
        <v>705</v>
      </c>
      <c r="S174" s="1074">
        <v>575.78</v>
      </c>
      <c r="T174" s="1074">
        <v>10811.11</v>
      </c>
      <c r="U174" s="1074">
        <v>109</v>
      </c>
      <c r="V174" s="1074">
        <v>0</v>
      </c>
      <c r="W174" s="1074">
        <v>0</v>
      </c>
      <c r="X174" s="1074">
        <v>0</v>
      </c>
      <c r="Y174" s="1074">
        <v>174.4</v>
      </c>
      <c r="Z174" s="1074">
        <v>0</v>
      </c>
      <c r="AA174" s="1074">
        <v>10527.71</v>
      </c>
      <c r="AB174" s="1074">
        <v>810.85</v>
      </c>
      <c r="AC174" s="1074">
        <v>0</v>
      </c>
      <c r="AD174" s="1074">
        <v>0</v>
      </c>
      <c r="AE174" s="1074">
        <v>1813201</v>
      </c>
      <c r="AF174" s="1074" t="s">
        <v>251</v>
      </c>
      <c r="AG174" s="1095">
        <f>VLOOKUP(B174,עזר!A$2:B$329,2,FALSE)</f>
        <v>88254.02</v>
      </c>
      <c r="AH174" s="1074">
        <f t="shared" si="74"/>
        <v>38708.22</v>
      </c>
      <c r="AI174" s="1074">
        <f t="shared" si="75"/>
        <v>126962.24000000001</v>
      </c>
      <c r="AJ174" s="1077">
        <f>VLOOKUP(B174,Sheet1!D$2:K$430,7,FALSE)</f>
        <v>0.8</v>
      </c>
      <c r="AK174" s="1074">
        <f>VLOOKUP(B174,Sheet1!D$2:L$430,8,FALSE)</f>
        <v>105000</v>
      </c>
      <c r="AL174" s="1109">
        <f t="shared" si="76"/>
        <v>0.75</v>
      </c>
      <c r="AM174" s="1074">
        <f t="shared" si="77"/>
        <v>129501.48480000001</v>
      </c>
      <c r="AN174" s="1085">
        <f t="shared" si="78"/>
        <v>0.75</v>
      </c>
      <c r="AO174" s="1074">
        <f t="shared" si="78"/>
        <v>129501.48480000001</v>
      </c>
      <c r="AP174" s="1080"/>
    </row>
    <row r="175" spans="1:42" outlineLevel="2" x14ac:dyDescent="0.2">
      <c r="A175" s="1075">
        <v>506</v>
      </c>
      <c r="B175" s="1078">
        <v>5897615</v>
      </c>
      <c r="C175" s="1075">
        <v>58976150</v>
      </c>
      <c r="D175" s="1075" t="s">
        <v>1419</v>
      </c>
      <c r="E175" s="1075" t="s">
        <v>2172</v>
      </c>
      <c r="F175" s="1075">
        <v>813201</v>
      </c>
      <c r="G175" s="1075" t="s">
        <v>2107</v>
      </c>
      <c r="H175" s="1075">
        <v>90534</v>
      </c>
      <c r="I175" s="1075">
        <v>0</v>
      </c>
      <c r="J175" s="1075">
        <v>5</v>
      </c>
      <c r="K175" s="1075">
        <v>37</v>
      </c>
      <c r="L175" s="1075">
        <v>0</v>
      </c>
      <c r="M175" s="1075" t="s">
        <v>3176</v>
      </c>
      <c r="N175" s="1075" t="s">
        <v>3177</v>
      </c>
      <c r="O175" s="1077">
        <f t="shared" si="73"/>
        <v>0.83</v>
      </c>
      <c r="P175" s="1075">
        <v>83</v>
      </c>
      <c r="Q175" s="1074">
        <v>12086.15</v>
      </c>
      <c r="R175" s="1074">
        <v>633.70000000000005</v>
      </c>
      <c r="S175" s="1074">
        <v>527.16</v>
      </c>
      <c r="T175" s="1074">
        <v>10163.040000000001</v>
      </c>
      <c r="U175" s="1074">
        <v>0</v>
      </c>
      <c r="V175" s="1074">
        <v>0</v>
      </c>
      <c r="W175" s="1074">
        <v>0</v>
      </c>
      <c r="X175" s="1074">
        <v>0</v>
      </c>
      <c r="Y175" s="1074">
        <v>117.8</v>
      </c>
      <c r="Z175" s="1074">
        <v>0</v>
      </c>
      <c r="AA175" s="1074">
        <v>10045.24</v>
      </c>
      <c r="AB175" s="1074">
        <v>762.25</v>
      </c>
      <c r="AC175" s="1074">
        <v>0</v>
      </c>
      <c r="AD175" s="1074">
        <v>0</v>
      </c>
      <c r="AE175" s="1074">
        <v>1813201</v>
      </c>
      <c r="AF175" s="1074" t="s">
        <v>251</v>
      </c>
      <c r="AG175" s="1095">
        <f>VLOOKUP(B175,עזר!A$2:B$329,2,FALSE)</f>
        <v>82490.16</v>
      </c>
      <c r="AH175" s="1074">
        <f t="shared" si="74"/>
        <v>36258.449999999997</v>
      </c>
      <c r="AI175" s="1074">
        <f t="shared" si="75"/>
        <v>118748.61</v>
      </c>
      <c r="AJ175" s="1077">
        <f>VLOOKUP(B175,Sheet1!D$2:K$430,7,FALSE)</f>
        <v>0.83</v>
      </c>
      <c r="AK175" s="1074">
        <f>VLOOKUP(B175,Sheet1!D$2:L$430,8,FALSE)</f>
        <v>95000</v>
      </c>
      <c r="AL175" s="1109">
        <f t="shared" si="76"/>
        <v>0.83</v>
      </c>
      <c r="AM175" s="1074">
        <f t="shared" si="77"/>
        <v>121123.5822</v>
      </c>
      <c r="AN175" s="1085">
        <f t="shared" si="78"/>
        <v>0.83</v>
      </c>
      <c r="AO175" s="1074">
        <f t="shared" si="78"/>
        <v>121123.5822</v>
      </c>
      <c r="AP175" s="1080"/>
    </row>
    <row r="176" spans="1:42" outlineLevel="2" x14ac:dyDescent="0.2">
      <c r="A176" s="1075">
        <v>506</v>
      </c>
      <c r="B176" s="1075">
        <v>30305481</v>
      </c>
      <c r="C176" s="1075">
        <v>303054811</v>
      </c>
      <c r="D176" s="1075" t="s">
        <v>2207</v>
      </c>
      <c r="E176" s="1075" t="s">
        <v>2398</v>
      </c>
      <c r="F176" s="1075">
        <v>813201</v>
      </c>
      <c r="G176" s="1075" t="s">
        <v>2384</v>
      </c>
      <c r="H176" s="1075">
        <v>90534</v>
      </c>
      <c r="I176" s="1075">
        <v>0</v>
      </c>
      <c r="J176" s="1075">
        <v>5</v>
      </c>
      <c r="K176" s="1075">
        <v>5</v>
      </c>
      <c r="L176" s="1075">
        <v>0</v>
      </c>
      <c r="M176" s="1075" t="s">
        <v>3176</v>
      </c>
      <c r="N176" s="1075" t="s">
        <v>3177</v>
      </c>
      <c r="O176" s="1077">
        <f>200/900</f>
        <v>0.22222222222222221</v>
      </c>
      <c r="Q176" s="1074">
        <v>0</v>
      </c>
      <c r="R176" s="1074"/>
      <c r="S176" s="1074"/>
      <c r="T176" s="1074"/>
      <c r="U176" s="1074"/>
      <c r="V176" s="1074"/>
      <c r="W176" s="1074"/>
      <c r="X176" s="1074"/>
      <c r="Y176" s="1074"/>
      <c r="Z176" s="1074"/>
      <c r="AA176" s="1074"/>
      <c r="AB176" s="1074"/>
      <c r="AC176" s="1074"/>
      <c r="AD176" s="1074"/>
      <c r="AE176" s="1074"/>
      <c r="AF176" s="1074"/>
      <c r="AG176" s="1095">
        <f>VLOOKUP(B176,עזר!A$2:B$329,2,FALSE)</f>
        <v>37564.910000000003</v>
      </c>
      <c r="AH176" s="1074">
        <f t="shared" si="74"/>
        <v>0</v>
      </c>
      <c r="AI176" s="1074">
        <f t="shared" si="75"/>
        <v>37564.910000000003</v>
      </c>
      <c r="AJ176" s="1077">
        <f>VLOOKUP(B176,Sheet1!D$2:K$430,7,FALSE)</f>
        <v>0.6</v>
      </c>
      <c r="AK176" s="1074">
        <f>VLOOKUP(B176,Sheet1!D$2:L$430,8,FALSE)</f>
        <v>58000</v>
      </c>
      <c r="AL176" s="1109">
        <v>0</v>
      </c>
      <c r="AM176" s="1074">
        <v>0</v>
      </c>
      <c r="AN176" s="1085">
        <f t="shared" si="78"/>
        <v>0</v>
      </c>
      <c r="AO176" s="1074">
        <f t="shared" si="78"/>
        <v>0</v>
      </c>
      <c r="AP176" s="1080"/>
    </row>
    <row r="177" spans="1:42" outlineLevel="1" x14ac:dyDescent="0.2">
      <c r="F177" s="1088" t="s">
        <v>3105</v>
      </c>
      <c r="O177" s="1077">
        <f>SUBTOTAL(9,O170:O176)</f>
        <v>4.6822222222222223</v>
      </c>
      <c r="Q177" s="1074">
        <f>SUBTOTAL(9,Q170:Q176)</f>
        <v>50086.55</v>
      </c>
      <c r="R177" s="1074"/>
      <c r="S177" s="1074"/>
      <c r="T177" s="1074"/>
      <c r="U177" s="1074"/>
      <c r="V177" s="1074"/>
      <c r="W177" s="1074"/>
      <c r="X177" s="1074"/>
      <c r="Y177" s="1074"/>
      <c r="Z177" s="1074"/>
      <c r="AA177" s="1074"/>
      <c r="AB177" s="1074"/>
      <c r="AC177" s="1074"/>
      <c r="AD177" s="1074"/>
      <c r="AE177" s="1074"/>
      <c r="AF177" s="1074"/>
      <c r="AG177" s="1095">
        <f t="shared" ref="AG177:AM177" si="79">SUBTOTAL(9,AG170:AG176)</f>
        <v>471944.52</v>
      </c>
      <c r="AH177" s="1074">
        <f t="shared" si="79"/>
        <v>150259.65</v>
      </c>
      <c r="AI177" s="1074">
        <f t="shared" si="79"/>
        <v>622204.17000000004</v>
      </c>
      <c r="AJ177" s="1077">
        <f t="shared" si="79"/>
        <v>5.21</v>
      </c>
      <c r="AK177" s="1074">
        <f t="shared" si="79"/>
        <v>556000</v>
      </c>
      <c r="AL177" s="1109">
        <f t="shared" si="79"/>
        <v>4.46</v>
      </c>
      <c r="AM177" s="1074">
        <f t="shared" si="79"/>
        <v>596332.04520000005</v>
      </c>
      <c r="AP177" s="1080">
        <f>SUBTOTAL(9,AP170:AP176)</f>
        <v>0</v>
      </c>
    </row>
    <row r="178" spans="1:42" outlineLevel="2" x14ac:dyDescent="0.2">
      <c r="A178" s="1075">
        <v>506</v>
      </c>
      <c r="B178" s="1078">
        <v>2750510</v>
      </c>
      <c r="C178" s="1075">
        <v>27505106</v>
      </c>
      <c r="D178" s="1075" t="s">
        <v>2173</v>
      </c>
      <c r="E178" s="1075" t="s">
        <v>2174</v>
      </c>
      <c r="F178" s="1075">
        <v>813202</v>
      </c>
      <c r="G178" s="1075" t="s">
        <v>2107</v>
      </c>
      <c r="H178" s="1075">
        <v>90534</v>
      </c>
      <c r="I178" s="1075">
        <v>0</v>
      </c>
      <c r="J178" s="1075">
        <v>5</v>
      </c>
      <c r="K178" s="1075">
        <v>5</v>
      </c>
      <c r="L178" s="1075">
        <v>0</v>
      </c>
      <c r="M178" s="1075" t="s">
        <v>3171</v>
      </c>
      <c r="N178" s="1075" t="s">
        <v>3326</v>
      </c>
      <c r="O178" s="1077">
        <f t="shared" ref="O178:O186" si="80">P178/100</f>
        <v>0.5</v>
      </c>
      <c r="P178" s="1075">
        <v>50</v>
      </c>
      <c r="Q178" s="1074">
        <v>4821.05</v>
      </c>
      <c r="R178" s="1074">
        <v>742.2</v>
      </c>
      <c r="S178" s="1074">
        <v>126.83</v>
      </c>
      <c r="T178" s="1074">
        <v>3676.32</v>
      </c>
      <c r="U178" s="1074">
        <v>0</v>
      </c>
      <c r="V178" s="1074">
        <v>0</v>
      </c>
      <c r="W178" s="1074">
        <v>0</v>
      </c>
      <c r="X178" s="1074">
        <v>0</v>
      </c>
      <c r="Y178" s="1074">
        <v>186.45</v>
      </c>
      <c r="Z178" s="1074">
        <v>0</v>
      </c>
      <c r="AA178" s="1074">
        <v>3489.87</v>
      </c>
      <c r="AB178" s="1074">
        <v>275.7</v>
      </c>
      <c r="AC178" s="1074">
        <v>0</v>
      </c>
      <c r="AD178" s="1074">
        <v>0</v>
      </c>
      <c r="AE178" s="1074">
        <v>1813202</v>
      </c>
      <c r="AF178" s="1074" t="s">
        <v>251</v>
      </c>
      <c r="AG178" s="1095">
        <f>VLOOKUP(B178,עזר!A$2:B$329,2,FALSE)</f>
        <v>47238.95</v>
      </c>
      <c r="AH178" s="1074">
        <f t="shared" ref="AH178:AH192" si="81">Q178*3</f>
        <v>14463.150000000001</v>
      </c>
      <c r="AI178" s="1074">
        <f t="shared" ref="AI178:AI192" si="82">AH178+AG178</f>
        <v>61702.1</v>
      </c>
      <c r="AJ178" s="1077">
        <f>VLOOKUP(B178,Sheet1!D$2:K$430,7,FALSE)</f>
        <v>0.6</v>
      </c>
      <c r="AK178" s="1074">
        <f>VLOOKUP(B178,Sheet1!D$2:L$430,8,FALSE)</f>
        <v>58698</v>
      </c>
      <c r="AL178" s="1109">
        <f t="shared" ref="AL178:AL186" si="83">O178</f>
        <v>0.5</v>
      </c>
      <c r="AM178" s="1074">
        <f t="shared" ref="AM178:AM186" si="84">AI178*1.02</f>
        <v>62936.142</v>
      </c>
      <c r="AN178" s="1085">
        <f t="shared" ref="AN178:AN192" si="85">AL178</f>
        <v>0.5</v>
      </c>
      <c r="AO178" s="1074">
        <f t="shared" ref="AO178:AO192" si="86">AM178</f>
        <v>62936.142</v>
      </c>
      <c r="AP178" s="1080"/>
    </row>
    <row r="179" spans="1:42" outlineLevel="2" x14ac:dyDescent="0.2">
      <c r="A179" s="1075">
        <v>506</v>
      </c>
      <c r="B179" s="1078">
        <v>2815163</v>
      </c>
      <c r="C179" s="1075">
        <v>28151637</v>
      </c>
      <c r="D179" s="1075" t="s">
        <v>2123</v>
      </c>
      <c r="E179" s="1075" t="s">
        <v>2175</v>
      </c>
      <c r="F179" s="1075">
        <v>813202</v>
      </c>
      <c r="G179" s="1075" t="s">
        <v>2107</v>
      </c>
      <c r="H179" s="1075">
        <v>90534</v>
      </c>
      <c r="I179" s="1075">
        <v>0</v>
      </c>
      <c r="J179" s="1075">
        <v>5</v>
      </c>
      <c r="K179" s="1075">
        <v>5</v>
      </c>
      <c r="L179" s="1075">
        <v>0</v>
      </c>
      <c r="M179" s="1075" t="s">
        <v>3171</v>
      </c>
      <c r="N179" s="1075" t="s">
        <v>3330</v>
      </c>
      <c r="O179" s="1077">
        <f t="shared" si="80"/>
        <v>0.5</v>
      </c>
      <c r="P179" s="1075">
        <v>50</v>
      </c>
      <c r="Q179" s="1074">
        <v>4635.99</v>
      </c>
      <c r="R179" s="1074">
        <v>712.7</v>
      </c>
      <c r="S179" s="1074">
        <v>122</v>
      </c>
      <c r="T179" s="1074">
        <v>3536.09</v>
      </c>
      <c r="U179" s="1074">
        <v>0</v>
      </c>
      <c r="V179" s="1074">
        <v>0</v>
      </c>
      <c r="W179" s="1074">
        <v>0</v>
      </c>
      <c r="X179" s="1074">
        <v>0</v>
      </c>
      <c r="Y179" s="1074">
        <v>186.45</v>
      </c>
      <c r="Z179" s="1074">
        <v>0</v>
      </c>
      <c r="AA179" s="1074">
        <v>3349.64</v>
      </c>
      <c r="AB179" s="1074">
        <v>265.2</v>
      </c>
      <c r="AC179" s="1074">
        <v>0</v>
      </c>
      <c r="AD179" s="1074">
        <v>0</v>
      </c>
      <c r="AE179" s="1074">
        <v>1813202</v>
      </c>
      <c r="AF179" s="1074" t="s">
        <v>251</v>
      </c>
      <c r="AG179" s="1095">
        <f>VLOOKUP(B179,עזר!A$2:B$329,2,FALSE)</f>
        <v>45274.85</v>
      </c>
      <c r="AH179" s="1074">
        <f t="shared" si="81"/>
        <v>13907.97</v>
      </c>
      <c r="AI179" s="1074">
        <f t="shared" si="82"/>
        <v>59182.82</v>
      </c>
      <c r="AJ179" s="1077">
        <f>VLOOKUP(B179,Sheet1!D$2:K$430,7,FALSE)</f>
        <v>0.6</v>
      </c>
      <c r="AK179" s="1074">
        <f>VLOOKUP(B179,Sheet1!D$2:L$430,8,FALSE)</f>
        <v>55044</v>
      </c>
      <c r="AL179" s="1109">
        <f t="shared" si="83"/>
        <v>0.5</v>
      </c>
      <c r="AM179" s="1074">
        <f t="shared" si="84"/>
        <v>60366.4764</v>
      </c>
      <c r="AN179" s="1085">
        <f t="shared" si="85"/>
        <v>0.5</v>
      </c>
      <c r="AO179" s="1074">
        <f t="shared" si="86"/>
        <v>60366.4764</v>
      </c>
      <c r="AP179" s="1080"/>
    </row>
    <row r="180" spans="1:42" outlineLevel="2" x14ac:dyDescent="0.2">
      <c r="A180" s="1075">
        <v>506</v>
      </c>
      <c r="B180" s="1078">
        <v>2833796</v>
      </c>
      <c r="C180" s="1075">
        <v>28337962</v>
      </c>
      <c r="D180" s="1075" t="s">
        <v>2176</v>
      </c>
      <c r="E180" s="1075" t="s">
        <v>2177</v>
      </c>
      <c r="F180" s="1075">
        <v>813202</v>
      </c>
      <c r="G180" s="1075" t="s">
        <v>2107</v>
      </c>
      <c r="H180" s="1075">
        <v>90534</v>
      </c>
      <c r="I180" s="1075">
        <v>0</v>
      </c>
      <c r="J180" s="1075">
        <v>5</v>
      </c>
      <c r="K180" s="1075">
        <v>5</v>
      </c>
      <c r="L180" s="1075">
        <v>0</v>
      </c>
      <c r="M180" s="1075" t="s">
        <v>3171</v>
      </c>
      <c r="N180" s="1075" t="s">
        <v>3326</v>
      </c>
      <c r="O180" s="1077">
        <f t="shared" si="80"/>
        <v>0.5</v>
      </c>
      <c r="P180" s="1075">
        <v>50</v>
      </c>
      <c r="Q180" s="1074">
        <v>4729.54</v>
      </c>
      <c r="R180" s="1074">
        <v>730.2</v>
      </c>
      <c r="S180" s="1074">
        <v>124.36</v>
      </c>
      <c r="T180" s="1074">
        <v>3604.63</v>
      </c>
      <c r="U180" s="1074">
        <v>0</v>
      </c>
      <c r="V180" s="1074">
        <v>0</v>
      </c>
      <c r="W180" s="1074">
        <v>0</v>
      </c>
      <c r="X180" s="1074">
        <v>0</v>
      </c>
      <c r="Y180" s="1074">
        <v>167.1</v>
      </c>
      <c r="Z180" s="1074">
        <v>0</v>
      </c>
      <c r="AA180" s="1074">
        <v>3437.53</v>
      </c>
      <c r="AB180" s="1074">
        <v>270.35000000000002</v>
      </c>
      <c r="AC180" s="1074">
        <v>0</v>
      </c>
      <c r="AD180" s="1074">
        <v>0</v>
      </c>
      <c r="AE180" s="1074">
        <v>1813202</v>
      </c>
      <c r="AF180" s="1074" t="s">
        <v>251</v>
      </c>
      <c r="AG180" s="1095">
        <f>VLOOKUP(B180,עזר!A$2:B$329,2,FALSE)</f>
        <v>48686.66</v>
      </c>
      <c r="AH180" s="1074">
        <f t="shared" si="81"/>
        <v>14188.619999999999</v>
      </c>
      <c r="AI180" s="1074">
        <f t="shared" si="82"/>
        <v>62875.28</v>
      </c>
      <c r="AJ180" s="1077">
        <f>VLOOKUP(B180,Sheet1!D$2:K$430,7,FALSE)</f>
        <v>0.6</v>
      </c>
      <c r="AK180" s="1074">
        <f>VLOOKUP(B180,Sheet1!D$2:L$430,8,FALSE)</f>
        <v>57782</v>
      </c>
      <c r="AL180" s="1109">
        <f t="shared" si="83"/>
        <v>0.5</v>
      </c>
      <c r="AM180" s="1074">
        <f t="shared" si="84"/>
        <v>64132.785600000003</v>
      </c>
      <c r="AN180" s="1085">
        <f t="shared" si="85"/>
        <v>0.5</v>
      </c>
      <c r="AO180" s="1074">
        <f t="shared" si="86"/>
        <v>64132.785600000003</v>
      </c>
      <c r="AP180" s="1080"/>
    </row>
    <row r="181" spans="1:42" outlineLevel="2" x14ac:dyDescent="0.2">
      <c r="A181" s="1075">
        <v>506</v>
      </c>
      <c r="B181" s="1078">
        <v>2977830</v>
      </c>
      <c r="C181" s="1075">
        <v>29778305</v>
      </c>
      <c r="D181" s="1075" t="s">
        <v>1329</v>
      </c>
      <c r="E181" s="1075" t="s">
        <v>2178</v>
      </c>
      <c r="F181" s="1075">
        <v>813202</v>
      </c>
      <c r="G181" s="1075" t="s">
        <v>2107</v>
      </c>
      <c r="H181" s="1075">
        <v>90534</v>
      </c>
      <c r="I181" s="1075">
        <v>0</v>
      </c>
      <c r="J181" s="1075">
        <v>5</v>
      </c>
      <c r="K181" s="1075">
        <v>5</v>
      </c>
      <c r="L181" s="1075">
        <v>0</v>
      </c>
      <c r="M181" s="1075" t="s">
        <v>3171</v>
      </c>
      <c r="N181" s="1075" t="s">
        <v>3326</v>
      </c>
      <c r="O181" s="1077">
        <f t="shared" si="80"/>
        <v>0.5</v>
      </c>
      <c r="P181" s="1075">
        <v>50</v>
      </c>
      <c r="Q181" s="1074">
        <v>4791.01</v>
      </c>
      <c r="R181" s="1074">
        <v>726</v>
      </c>
      <c r="S181" s="1074">
        <v>126.4</v>
      </c>
      <c r="T181" s="1074">
        <v>3663.81</v>
      </c>
      <c r="U181" s="1074">
        <v>0</v>
      </c>
      <c r="V181" s="1074">
        <v>0</v>
      </c>
      <c r="W181" s="1074">
        <v>0</v>
      </c>
      <c r="X181" s="1074">
        <v>0</v>
      </c>
      <c r="Y181" s="1074">
        <v>234.85</v>
      </c>
      <c r="Z181" s="1074">
        <v>0</v>
      </c>
      <c r="AA181" s="1074">
        <v>3428.96</v>
      </c>
      <c r="AB181" s="1074">
        <v>274.8</v>
      </c>
      <c r="AC181" s="1074">
        <v>0</v>
      </c>
      <c r="AD181" s="1074">
        <v>0</v>
      </c>
      <c r="AE181" s="1074">
        <v>1813202</v>
      </c>
      <c r="AF181" s="1074" t="s">
        <v>251</v>
      </c>
      <c r="AG181" s="1095">
        <f>VLOOKUP(B181,עזר!A$2:B$329,2,FALSE)</f>
        <v>52577.08</v>
      </c>
      <c r="AH181" s="1074">
        <f t="shared" si="81"/>
        <v>14373.03</v>
      </c>
      <c r="AI181" s="1074">
        <f t="shared" si="82"/>
        <v>66950.11</v>
      </c>
      <c r="AJ181" s="1077">
        <f>VLOOKUP(B181,Sheet1!D$2:K$430,7,FALSE)</f>
        <v>0.6</v>
      </c>
      <c r="AK181" s="1074">
        <f>VLOOKUP(B181,Sheet1!D$2:L$430,8,FALSE)</f>
        <v>57588</v>
      </c>
      <c r="AL181" s="1109">
        <f t="shared" si="83"/>
        <v>0.5</v>
      </c>
      <c r="AM181" s="1074">
        <f t="shared" si="84"/>
        <v>68289.112200000003</v>
      </c>
      <c r="AN181" s="1085">
        <f t="shared" si="85"/>
        <v>0.5</v>
      </c>
      <c r="AO181" s="1074">
        <f t="shared" si="86"/>
        <v>68289.112200000003</v>
      </c>
      <c r="AP181" s="1080"/>
    </row>
    <row r="182" spans="1:42" outlineLevel="2" x14ac:dyDescent="0.2">
      <c r="A182" s="1075">
        <v>506</v>
      </c>
      <c r="B182" s="1078">
        <v>5443641</v>
      </c>
      <c r="C182" s="1075">
        <v>54436415</v>
      </c>
      <c r="D182" s="1075" t="s">
        <v>1329</v>
      </c>
      <c r="E182" s="1075" t="s">
        <v>2179</v>
      </c>
      <c r="F182" s="1075">
        <v>813202</v>
      </c>
      <c r="G182" s="1075" t="s">
        <v>2107</v>
      </c>
      <c r="H182" s="1075">
        <v>90534</v>
      </c>
      <c r="I182" s="1075">
        <v>0</v>
      </c>
      <c r="J182" s="1075">
        <v>5</v>
      </c>
      <c r="K182" s="1075">
        <v>37</v>
      </c>
      <c r="L182" s="1075">
        <v>0</v>
      </c>
      <c r="M182" s="1075" t="s">
        <v>3171</v>
      </c>
      <c r="N182" s="1075" t="s">
        <v>3329</v>
      </c>
      <c r="O182" s="1077">
        <f t="shared" si="80"/>
        <v>0.5</v>
      </c>
      <c r="P182" s="1075">
        <v>50</v>
      </c>
      <c r="Q182" s="1074">
        <v>8858.5499999999993</v>
      </c>
      <c r="R182" s="1074">
        <v>482.35</v>
      </c>
      <c r="S182" s="1074">
        <v>324.33</v>
      </c>
      <c r="T182" s="1074">
        <v>7490.12</v>
      </c>
      <c r="U182" s="1074">
        <v>0</v>
      </c>
      <c r="V182" s="1074">
        <v>0</v>
      </c>
      <c r="W182" s="1074">
        <v>0</v>
      </c>
      <c r="X182" s="1074">
        <v>0</v>
      </c>
      <c r="Y182" s="1074">
        <v>242.15</v>
      </c>
      <c r="Z182" s="1074">
        <v>0</v>
      </c>
      <c r="AA182" s="1074">
        <v>7247.97</v>
      </c>
      <c r="AB182" s="1074">
        <v>561.75</v>
      </c>
      <c r="AC182" s="1074">
        <v>0</v>
      </c>
      <c r="AD182" s="1074">
        <v>0</v>
      </c>
      <c r="AE182" s="1074">
        <v>1813202</v>
      </c>
      <c r="AF182" s="1074" t="s">
        <v>251</v>
      </c>
      <c r="AG182" s="1095">
        <f>VLOOKUP(B182,עזר!A$2:B$329,2,FALSE)</f>
        <v>67785.64</v>
      </c>
      <c r="AH182" s="1074">
        <f t="shared" si="81"/>
        <v>26575.649999999998</v>
      </c>
      <c r="AI182" s="1074">
        <f t="shared" si="82"/>
        <v>94361.29</v>
      </c>
      <c r="AJ182" s="1077">
        <f>VLOOKUP(B182,Sheet1!D$2:K$430,7,FALSE)</f>
        <v>0.6</v>
      </c>
      <c r="AK182" s="1074">
        <f>VLOOKUP(B182,Sheet1!D$2:L$430,8,FALSE)</f>
        <v>83031</v>
      </c>
      <c r="AL182" s="1109">
        <f t="shared" si="83"/>
        <v>0.5</v>
      </c>
      <c r="AM182" s="1074">
        <f t="shared" si="84"/>
        <v>96248.515799999994</v>
      </c>
      <c r="AN182" s="1085">
        <f t="shared" si="85"/>
        <v>0.5</v>
      </c>
      <c r="AO182" s="1074">
        <f t="shared" si="86"/>
        <v>96248.515799999994</v>
      </c>
      <c r="AP182" s="1080"/>
    </row>
    <row r="183" spans="1:42" outlineLevel="2" x14ac:dyDescent="0.2">
      <c r="A183" s="1075">
        <v>506</v>
      </c>
      <c r="B183" s="1078">
        <v>5484140</v>
      </c>
      <c r="C183" s="1075">
        <v>54841408</v>
      </c>
      <c r="D183" s="1075" t="s">
        <v>2180</v>
      </c>
      <c r="E183" s="1075" t="s">
        <v>2181</v>
      </c>
      <c r="F183" s="1075">
        <v>813202</v>
      </c>
      <c r="G183" s="1075" t="s">
        <v>2107</v>
      </c>
      <c r="H183" s="1075">
        <v>90534</v>
      </c>
      <c r="I183" s="1075">
        <v>0</v>
      </c>
      <c r="J183" s="1075">
        <v>5</v>
      </c>
      <c r="K183" s="1075">
        <v>5</v>
      </c>
      <c r="L183" s="1075">
        <v>0</v>
      </c>
      <c r="M183" s="1075" t="s">
        <v>3171</v>
      </c>
      <c r="N183" s="1075" t="s">
        <v>3328</v>
      </c>
      <c r="O183" s="1077">
        <f t="shared" si="80"/>
        <v>0.56499999999999995</v>
      </c>
      <c r="P183" s="1075">
        <v>56.5</v>
      </c>
      <c r="Q183" s="1074">
        <v>4130.01</v>
      </c>
      <c r="R183" s="1074">
        <v>601.75</v>
      </c>
      <c r="S183" s="1074">
        <v>109.71</v>
      </c>
      <c r="T183" s="1074">
        <v>3180.05</v>
      </c>
      <c r="U183" s="1074">
        <v>0</v>
      </c>
      <c r="V183" s="1074">
        <v>0</v>
      </c>
      <c r="W183" s="1074">
        <v>0</v>
      </c>
      <c r="X183" s="1074">
        <v>0</v>
      </c>
      <c r="Y183" s="1074">
        <v>173.15</v>
      </c>
      <c r="Z183" s="1074">
        <v>0</v>
      </c>
      <c r="AA183" s="1074">
        <v>3006.9</v>
      </c>
      <c r="AB183" s="1074">
        <v>238.5</v>
      </c>
      <c r="AC183" s="1074">
        <v>0</v>
      </c>
      <c r="AD183" s="1074">
        <v>0</v>
      </c>
      <c r="AE183" s="1074">
        <v>1813202</v>
      </c>
      <c r="AF183" s="1074" t="s">
        <v>251</v>
      </c>
      <c r="AG183" s="1095">
        <f>VLOOKUP(B183,עזר!A$2:B$329,2,FALSE)</f>
        <v>38921.97</v>
      </c>
      <c r="AH183" s="1074">
        <f t="shared" si="81"/>
        <v>12390.03</v>
      </c>
      <c r="AI183" s="1074">
        <f t="shared" si="82"/>
        <v>51312</v>
      </c>
      <c r="AJ183" s="1077">
        <f>VLOOKUP(B183,Sheet1!D$2:K$430,7,FALSE)</f>
        <v>0.6</v>
      </c>
      <c r="AK183" s="1074">
        <f>VLOOKUP(B183,Sheet1!D$2:L$430,8,FALSE)</f>
        <v>45789</v>
      </c>
      <c r="AL183" s="1109">
        <f t="shared" si="83"/>
        <v>0.56499999999999995</v>
      </c>
      <c r="AM183" s="1074">
        <f t="shared" si="84"/>
        <v>52338.239999999998</v>
      </c>
      <c r="AN183" s="1085">
        <f t="shared" si="85"/>
        <v>0.56499999999999995</v>
      </c>
      <c r="AO183" s="1074">
        <f t="shared" si="86"/>
        <v>52338.239999999998</v>
      </c>
      <c r="AP183" s="1080"/>
    </row>
    <row r="184" spans="1:42" outlineLevel="2" x14ac:dyDescent="0.2">
      <c r="A184" s="1075">
        <v>506</v>
      </c>
      <c r="B184" s="1078">
        <v>5515862</v>
      </c>
      <c r="C184" s="1075">
        <v>55158620</v>
      </c>
      <c r="D184" s="1075" t="s">
        <v>1531</v>
      </c>
      <c r="E184" s="1075" t="s">
        <v>2182</v>
      </c>
      <c r="F184" s="1075">
        <v>813202</v>
      </c>
      <c r="G184" s="1075" t="s">
        <v>2107</v>
      </c>
      <c r="H184" s="1075">
        <v>90534</v>
      </c>
      <c r="I184" s="1075">
        <v>0</v>
      </c>
      <c r="J184" s="1075">
        <v>5</v>
      </c>
      <c r="K184" s="1075">
        <v>5</v>
      </c>
      <c r="L184" s="1075">
        <v>0</v>
      </c>
      <c r="M184" s="1075" t="s">
        <v>3171</v>
      </c>
      <c r="N184" s="1075" t="s">
        <v>3171</v>
      </c>
      <c r="O184" s="1077">
        <f t="shared" si="80"/>
        <v>0.5</v>
      </c>
      <c r="P184" s="1075">
        <v>50</v>
      </c>
      <c r="Q184" s="1074">
        <v>4538.92</v>
      </c>
      <c r="R184" s="1074">
        <v>703.8</v>
      </c>
      <c r="S184" s="1074">
        <v>119.25</v>
      </c>
      <c r="T184" s="1074">
        <v>3456.62</v>
      </c>
      <c r="U184" s="1074">
        <v>0</v>
      </c>
      <c r="V184" s="1074">
        <v>0</v>
      </c>
      <c r="W184" s="1074">
        <v>0</v>
      </c>
      <c r="X184" s="1074">
        <v>0</v>
      </c>
      <c r="Y184" s="1074">
        <v>138.05000000000001</v>
      </c>
      <c r="Z184" s="1074">
        <v>0</v>
      </c>
      <c r="AA184" s="1074">
        <v>3318.57</v>
      </c>
      <c r="AB184" s="1074">
        <v>259.25</v>
      </c>
      <c r="AC184" s="1074">
        <v>0</v>
      </c>
      <c r="AD184" s="1074">
        <v>0</v>
      </c>
      <c r="AE184" s="1074">
        <v>1813202</v>
      </c>
      <c r="AF184" s="1074" t="s">
        <v>251</v>
      </c>
      <c r="AG184" s="1095">
        <f>VLOOKUP(B184,עזר!A$2:B$329,2,FALSE)</f>
        <v>45225.34</v>
      </c>
      <c r="AH184" s="1074">
        <f t="shared" si="81"/>
        <v>13616.76</v>
      </c>
      <c r="AI184" s="1074">
        <f t="shared" si="82"/>
        <v>58842.1</v>
      </c>
      <c r="AJ184" s="1077">
        <f>VLOOKUP(B184,Sheet1!D$2:K$430,7,FALSE)</f>
        <v>0.6</v>
      </c>
      <c r="AK184" s="1074">
        <f>VLOOKUP(B184,Sheet1!D$2:L$430,8,FALSE)</f>
        <v>54135</v>
      </c>
      <c r="AL184" s="1109">
        <f t="shared" si="83"/>
        <v>0.5</v>
      </c>
      <c r="AM184" s="1074">
        <f t="shared" si="84"/>
        <v>60018.942000000003</v>
      </c>
      <c r="AN184" s="1085">
        <f t="shared" si="85"/>
        <v>0.5</v>
      </c>
      <c r="AO184" s="1074">
        <f t="shared" si="86"/>
        <v>60018.942000000003</v>
      </c>
      <c r="AP184" s="1080"/>
    </row>
    <row r="185" spans="1:42" outlineLevel="2" x14ac:dyDescent="0.2">
      <c r="A185" s="1075">
        <v>506</v>
      </c>
      <c r="B185" s="1078">
        <v>5625569</v>
      </c>
      <c r="C185" s="1075">
        <v>56255698</v>
      </c>
      <c r="D185" s="1075" t="s">
        <v>1459</v>
      </c>
      <c r="E185" s="1075" t="s">
        <v>2183</v>
      </c>
      <c r="F185" s="1075">
        <v>813202</v>
      </c>
      <c r="G185" s="1075" t="s">
        <v>2107</v>
      </c>
      <c r="H185" s="1075">
        <v>90534</v>
      </c>
      <c r="I185" s="1075">
        <v>0</v>
      </c>
      <c r="J185" s="1075">
        <v>5</v>
      </c>
      <c r="K185" s="1075">
        <v>5</v>
      </c>
      <c r="L185" s="1075">
        <v>0</v>
      </c>
      <c r="M185" s="1075" t="s">
        <v>3171</v>
      </c>
      <c r="N185" s="1075" t="s">
        <v>3330</v>
      </c>
      <c r="O185" s="1077">
        <f t="shared" si="80"/>
        <v>0.5</v>
      </c>
      <c r="P185" s="1075">
        <v>50</v>
      </c>
      <c r="Q185" s="1074">
        <v>4506.57</v>
      </c>
      <c r="R185" s="1074">
        <v>693.9</v>
      </c>
      <c r="S185" s="1074">
        <v>118.55</v>
      </c>
      <c r="T185" s="1074">
        <v>3436.37</v>
      </c>
      <c r="U185" s="1074">
        <v>0</v>
      </c>
      <c r="V185" s="1074">
        <v>0</v>
      </c>
      <c r="W185" s="1074">
        <v>0</v>
      </c>
      <c r="X185" s="1074">
        <v>0</v>
      </c>
      <c r="Y185" s="1074">
        <v>138.05000000000001</v>
      </c>
      <c r="Z185" s="1074">
        <v>0</v>
      </c>
      <c r="AA185" s="1074">
        <v>3298.32</v>
      </c>
      <c r="AB185" s="1074">
        <v>257.75</v>
      </c>
      <c r="AC185" s="1074">
        <v>0</v>
      </c>
      <c r="AD185" s="1074">
        <v>0</v>
      </c>
      <c r="AE185" s="1074">
        <v>1813202</v>
      </c>
      <c r="AF185" s="1074" t="s">
        <v>251</v>
      </c>
      <c r="AG185" s="1095">
        <f>VLOOKUP(B185,עזר!A$2:B$329,2,FALSE)</f>
        <v>44972.37</v>
      </c>
      <c r="AH185" s="1074">
        <f t="shared" si="81"/>
        <v>13519.71</v>
      </c>
      <c r="AI185" s="1074">
        <f t="shared" si="82"/>
        <v>58492.08</v>
      </c>
      <c r="AJ185" s="1077">
        <f>VLOOKUP(B185,Sheet1!D$2:K$430,7,FALSE)</f>
        <v>0</v>
      </c>
      <c r="AK185" s="1074">
        <f>VLOOKUP(B185,Sheet1!D$2:L$430,8,FALSE)</f>
        <v>53729</v>
      </c>
      <c r="AL185" s="1109">
        <f t="shared" si="83"/>
        <v>0.5</v>
      </c>
      <c r="AM185" s="1074">
        <f t="shared" si="84"/>
        <v>59661.921600000001</v>
      </c>
      <c r="AN185" s="1085">
        <f t="shared" si="85"/>
        <v>0.5</v>
      </c>
      <c r="AO185" s="1074">
        <f t="shared" si="86"/>
        <v>59661.921600000001</v>
      </c>
      <c r="AP185" s="1080"/>
    </row>
    <row r="186" spans="1:42" outlineLevel="2" x14ac:dyDescent="0.2">
      <c r="A186" s="1075">
        <v>506</v>
      </c>
      <c r="B186" s="1078">
        <v>5625625</v>
      </c>
      <c r="C186" s="1075">
        <v>56256258</v>
      </c>
      <c r="D186" s="1075" t="s">
        <v>1419</v>
      </c>
      <c r="E186" s="1075" t="s">
        <v>2184</v>
      </c>
      <c r="F186" s="1075">
        <v>813202</v>
      </c>
      <c r="G186" s="1075" t="s">
        <v>2107</v>
      </c>
      <c r="H186" s="1075">
        <v>90534</v>
      </c>
      <c r="I186" s="1075">
        <v>0</v>
      </c>
      <c r="J186" s="1075">
        <v>5</v>
      </c>
      <c r="K186" s="1075">
        <v>5</v>
      </c>
      <c r="L186" s="1075">
        <v>0</v>
      </c>
      <c r="M186" s="1075" t="s">
        <v>3171</v>
      </c>
      <c r="N186" s="1075" t="s">
        <v>3328</v>
      </c>
      <c r="O186" s="1077">
        <f t="shared" si="80"/>
        <v>0.5</v>
      </c>
      <c r="P186" s="1075">
        <v>50</v>
      </c>
      <c r="Q186" s="1074">
        <v>4626.3500000000004</v>
      </c>
      <c r="R186" s="1074">
        <v>708.6</v>
      </c>
      <c r="S186" s="1074">
        <v>121.82</v>
      </c>
      <c r="T186" s="1074">
        <v>3531.08</v>
      </c>
      <c r="U186" s="1074">
        <v>0</v>
      </c>
      <c r="V186" s="1074">
        <v>0</v>
      </c>
      <c r="W186" s="1074">
        <v>0</v>
      </c>
      <c r="X186" s="1074">
        <v>0</v>
      </c>
      <c r="Y186" s="1074">
        <v>205.8</v>
      </c>
      <c r="Z186" s="1074">
        <v>0</v>
      </c>
      <c r="AA186" s="1074">
        <v>3325.28</v>
      </c>
      <c r="AB186" s="1074">
        <v>264.85000000000002</v>
      </c>
      <c r="AC186" s="1074">
        <v>0</v>
      </c>
      <c r="AD186" s="1074">
        <v>0</v>
      </c>
      <c r="AE186" s="1074">
        <v>1813202</v>
      </c>
      <c r="AF186" s="1074" t="s">
        <v>251</v>
      </c>
      <c r="AG186" s="1095">
        <f>VLOOKUP(B186,עזר!A$2:B$329,2,FALSE)</f>
        <v>46129.27</v>
      </c>
      <c r="AH186" s="1074">
        <f t="shared" si="81"/>
        <v>13879.050000000001</v>
      </c>
      <c r="AI186" s="1074">
        <f t="shared" si="82"/>
        <v>60008.32</v>
      </c>
      <c r="AJ186" s="1077">
        <f>VLOOKUP(B186,Sheet1!D$2:K$430,7,FALSE)</f>
        <v>0.6</v>
      </c>
      <c r="AK186" s="1074">
        <f>VLOOKUP(B186,Sheet1!D$2:L$430,8,FALSE)</f>
        <v>54503</v>
      </c>
      <c r="AL186" s="1109">
        <f t="shared" si="83"/>
        <v>0.5</v>
      </c>
      <c r="AM186" s="1074">
        <f t="shared" si="84"/>
        <v>61208.486400000002</v>
      </c>
      <c r="AN186" s="1085">
        <f t="shared" si="85"/>
        <v>0.5</v>
      </c>
      <c r="AO186" s="1074">
        <f t="shared" si="86"/>
        <v>61208.486400000002</v>
      </c>
      <c r="AP186" s="1080"/>
    </row>
    <row r="187" spans="1:42" outlineLevel="2" x14ac:dyDescent="0.2">
      <c r="A187" s="1075">
        <v>506</v>
      </c>
      <c r="B187" s="1075">
        <v>5698570</v>
      </c>
      <c r="C187" s="1075">
        <v>56985708</v>
      </c>
      <c r="D187" s="1075" t="s">
        <v>2399</v>
      </c>
      <c r="E187" s="1075" t="s">
        <v>2156</v>
      </c>
      <c r="F187" s="1075">
        <v>813202</v>
      </c>
      <c r="G187" s="1075" t="s">
        <v>2384</v>
      </c>
      <c r="H187" s="1075">
        <v>90534</v>
      </c>
      <c r="I187" s="1075">
        <v>0</v>
      </c>
      <c r="J187" s="1075">
        <v>5</v>
      </c>
      <c r="K187" s="1075">
        <v>4</v>
      </c>
      <c r="L187" s="1075">
        <v>0</v>
      </c>
      <c r="M187" s="1075" t="s">
        <v>3171</v>
      </c>
      <c r="N187" s="1075" t="s">
        <v>3328</v>
      </c>
      <c r="O187" s="1077">
        <f>50/900</f>
        <v>5.5555555555555552E-2</v>
      </c>
      <c r="Q187" s="1074">
        <v>0</v>
      </c>
      <c r="R187" s="1074"/>
      <c r="S187" s="1074"/>
      <c r="T187" s="1074"/>
      <c r="U187" s="1074"/>
      <c r="V187" s="1074"/>
      <c r="W187" s="1074"/>
      <c r="X187" s="1074"/>
      <c r="Y187" s="1074"/>
      <c r="Z187" s="1074"/>
      <c r="AA187" s="1074"/>
      <c r="AB187" s="1074"/>
      <c r="AC187" s="1074"/>
      <c r="AD187" s="1074"/>
      <c r="AE187" s="1074"/>
      <c r="AF187" s="1074"/>
      <c r="AG187" s="1095">
        <f>VLOOKUP(B187,עזר!A$2:B$329,2,FALSE)</f>
        <v>4280</v>
      </c>
      <c r="AH187" s="1074">
        <f t="shared" si="81"/>
        <v>0</v>
      </c>
      <c r="AI187" s="1074">
        <f t="shared" si="82"/>
        <v>4280</v>
      </c>
      <c r="AJ187" s="1077">
        <f>VLOOKUP(B187,Sheet1!D$2:K$430,7,FALSE)</f>
        <v>0.6</v>
      </c>
      <c r="AK187" s="1074">
        <f>VLOOKUP(B187,Sheet1!D$2:L$430,8,FALSE)</f>
        <v>56170</v>
      </c>
      <c r="AL187" s="1109">
        <v>0</v>
      </c>
      <c r="AM187" s="1074">
        <v>0</v>
      </c>
      <c r="AN187" s="1085">
        <f t="shared" si="85"/>
        <v>0</v>
      </c>
      <c r="AO187" s="1074">
        <f t="shared" si="86"/>
        <v>0</v>
      </c>
      <c r="AP187" s="1080"/>
    </row>
    <row r="188" spans="1:42" outlineLevel="2" x14ac:dyDescent="0.2">
      <c r="A188" s="1075">
        <v>506</v>
      </c>
      <c r="B188" s="1078">
        <v>5760108</v>
      </c>
      <c r="C188" s="1075">
        <v>57601080</v>
      </c>
      <c r="D188" s="1075" t="s">
        <v>2185</v>
      </c>
      <c r="E188" s="1075" t="s">
        <v>2186</v>
      </c>
      <c r="F188" s="1075">
        <v>813202</v>
      </c>
      <c r="G188" s="1075" t="s">
        <v>2107</v>
      </c>
      <c r="H188" s="1075">
        <v>90534</v>
      </c>
      <c r="I188" s="1075">
        <v>0</v>
      </c>
      <c r="J188" s="1075">
        <v>5</v>
      </c>
      <c r="K188" s="1075">
        <v>5</v>
      </c>
      <c r="L188" s="1075">
        <v>0</v>
      </c>
      <c r="M188" s="1075" t="s">
        <v>3171</v>
      </c>
      <c r="N188" s="1075" t="s">
        <v>3326</v>
      </c>
      <c r="O188" s="1077">
        <f t="shared" ref="O188:O192" si="87">P188/100</f>
        <v>0.5</v>
      </c>
      <c r="P188" s="1075">
        <v>50</v>
      </c>
      <c r="Q188" s="1074">
        <v>4729.4799999999996</v>
      </c>
      <c r="R188" s="1074">
        <v>727.65</v>
      </c>
      <c r="S188" s="1074">
        <v>124.44</v>
      </c>
      <c r="T188" s="1074">
        <v>3606.89</v>
      </c>
      <c r="U188" s="1074">
        <v>0</v>
      </c>
      <c r="V188" s="1074">
        <v>0</v>
      </c>
      <c r="W188" s="1074">
        <v>0</v>
      </c>
      <c r="X188" s="1074">
        <v>0</v>
      </c>
      <c r="Y188" s="1074">
        <v>186.45</v>
      </c>
      <c r="Z188" s="1074">
        <v>0</v>
      </c>
      <c r="AA188" s="1074">
        <v>3420.44</v>
      </c>
      <c r="AB188" s="1074">
        <v>270.5</v>
      </c>
      <c r="AC188" s="1074">
        <v>0</v>
      </c>
      <c r="AD188" s="1074">
        <v>0</v>
      </c>
      <c r="AE188" s="1074">
        <v>1813202</v>
      </c>
      <c r="AF188" s="1074" t="s">
        <v>251</v>
      </c>
      <c r="AG188" s="1095">
        <f>VLOOKUP(B188,עזר!A$2:B$329,2,FALSE)</f>
        <v>46145.11</v>
      </c>
      <c r="AH188" s="1074">
        <f t="shared" si="81"/>
        <v>14188.439999999999</v>
      </c>
      <c r="AI188" s="1074">
        <f t="shared" si="82"/>
        <v>60333.55</v>
      </c>
      <c r="AJ188" s="1077">
        <f>VLOOKUP(B188,Sheet1!D$2:K$430,7,FALSE)</f>
        <v>0.6</v>
      </c>
      <c r="AK188" s="1074">
        <f>VLOOKUP(B188,Sheet1!D$2:L$430,8,FALSE)</f>
        <v>56148</v>
      </c>
      <c r="AL188" s="1109">
        <f t="shared" ref="AL188:AL192" si="88">O188</f>
        <v>0.5</v>
      </c>
      <c r="AM188" s="1074">
        <f t="shared" ref="AM188:AM192" si="89">AI188*1.02</f>
        <v>61540.221000000005</v>
      </c>
      <c r="AN188" s="1085">
        <f t="shared" si="85"/>
        <v>0.5</v>
      </c>
      <c r="AO188" s="1074">
        <f t="shared" si="86"/>
        <v>61540.221000000005</v>
      </c>
      <c r="AP188" s="1080"/>
    </row>
    <row r="189" spans="1:42" outlineLevel="2" x14ac:dyDescent="0.2">
      <c r="A189" s="1075">
        <v>506</v>
      </c>
      <c r="B189" s="1078">
        <v>5853061</v>
      </c>
      <c r="C189" s="1075">
        <v>58530619</v>
      </c>
      <c r="D189" s="1075" t="s">
        <v>1390</v>
      </c>
      <c r="E189" s="1075" t="s">
        <v>2187</v>
      </c>
      <c r="F189" s="1075">
        <v>813202</v>
      </c>
      <c r="G189" s="1075" t="s">
        <v>2107</v>
      </c>
      <c r="H189" s="1075">
        <v>90534</v>
      </c>
      <c r="I189" s="1075">
        <v>0</v>
      </c>
      <c r="J189" s="1075">
        <v>5</v>
      </c>
      <c r="K189" s="1075">
        <v>5</v>
      </c>
      <c r="L189" s="1075">
        <v>0</v>
      </c>
      <c r="M189" s="1075" t="s">
        <v>3171</v>
      </c>
      <c r="N189" s="1075" t="s">
        <v>3331</v>
      </c>
      <c r="O189" s="1077">
        <f t="shared" si="87"/>
        <v>0.5</v>
      </c>
      <c r="P189" s="1075">
        <v>50</v>
      </c>
      <c r="Q189" s="1074">
        <v>2280.58</v>
      </c>
      <c r="R189" s="1074">
        <v>359</v>
      </c>
      <c r="S189" s="1074">
        <v>59.75</v>
      </c>
      <c r="T189" s="1074">
        <v>1731.93</v>
      </c>
      <c r="U189" s="1074">
        <v>0</v>
      </c>
      <c r="V189" s="1074">
        <v>0</v>
      </c>
      <c r="W189" s="1074">
        <v>0</v>
      </c>
      <c r="X189" s="1074">
        <v>0</v>
      </c>
      <c r="Y189" s="1074">
        <v>10.95</v>
      </c>
      <c r="Z189" s="1074">
        <v>0</v>
      </c>
      <c r="AA189" s="1074">
        <v>1720.98</v>
      </c>
      <c r="AB189" s="1074">
        <v>129.9</v>
      </c>
      <c r="AC189" s="1074">
        <v>0</v>
      </c>
      <c r="AD189" s="1074">
        <v>0</v>
      </c>
      <c r="AE189" s="1074">
        <v>1813202</v>
      </c>
      <c r="AF189" s="1074" t="s">
        <v>251</v>
      </c>
      <c r="AG189" s="1095">
        <f>VLOOKUP(B189,עזר!A$2:B$329,2,FALSE)</f>
        <v>37919.480000000003</v>
      </c>
      <c r="AH189" s="1074">
        <f t="shared" si="81"/>
        <v>6841.74</v>
      </c>
      <c r="AI189" s="1074">
        <f t="shared" si="82"/>
        <v>44761.22</v>
      </c>
      <c r="AJ189" s="1077">
        <f>VLOOKUP(B189,Sheet1!D$2:K$430,7,FALSE)</f>
        <v>0.6</v>
      </c>
      <c r="AK189" s="1074">
        <f>VLOOKUP(B189,Sheet1!D$2:L$430,8,FALSE)</f>
        <v>54482</v>
      </c>
      <c r="AL189" s="1109">
        <f t="shared" si="88"/>
        <v>0.5</v>
      </c>
      <c r="AM189" s="1074">
        <f t="shared" si="89"/>
        <v>45656.4444</v>
      </c>
      <c r="AN189" s="1085">
        <f t="shared" si="85"/>
        <v>0.5</v>
      </c>
      <c r="AO189" s="1074">
        <f t="shared" si="86"/>
        <v>45656.4444</v>
      </c>
      <c r="AP189" s="1080"/>
    </row>
    <row r="190" spans="1:42" outlineLevel="2" x14ac:dyDescent="0.2">
      <c r="A190" s="1075">
        <v>506</v>
      </c>
      <c r="B190" s="1078">
        <v>5891062</v>
      </c>
      <c r="C190" s="1075">
        <v>58910621</v>
      </c>
      <c r="D190" s="1075" t="s">
        <v>2185</v>
      </c>
      <c r="E190" s="1075" t="s">
        <v>2188</v>
      </c>
      <c r="F190" s="1075">
        <v>813202</v>
      </c>
      <c r="G190" s="1075" t="s">
        <v>2107</v>
      </c>
      <c r="H190" s="1075">
        <v>90534</v>
      </c>
      <c r="I190" s="1075">
        <v>0</v>
      </c>
      <c r="J190" s="1075">
        <v>5</v>
      </c>
      <c r="K190" s="1075">
        <v>5</v>
      </c>
      <c r="L190" s="1075">
        <v>0</v>
      </c>
      <c r="M190" s="1075" t="s">
        <v>3171</v>
      </c>
      <c r="N190" s="1075" t="s">
        <v>3327</v>
      </c>
      <c r="O190" s="1077">
        <f t="shared" si="87"/>
        <v>0.5</v>
      </c>
      <c r="P190" s="1075">
        <v>50</v>
      </c>
      <c r="Q190" s="1074">
        <v>4432.22</v>
      </c>
      <c r="R190" s="1074">
        <v>675.7</v>
      </c>
      <c r="S190" s="1074">
        <v>116.81</v>
      </c>
      <c r="T190" s="1074">
        <v>3385.76</v>
      </c>
      <c r="U190" s="1074">
        <v>0</v>
      </c>
      <c r="V190" s="1074">
        <v>0</v>
      </c>
      <c r="W190" s="1074">
        <v>0</v>
      </c>
      <c r="X190" s="1074">
        <v>0</v>
      </c>
      <c r="Y190" s="1074">
        <v>186.45</v>
      </c>
      <c r="Z190" s="1074">
        <v>0</v>
      </c>
      <c r="AA190" s="1074">
        <v>3199.31</v>
      </c>
      <c r="AB190" s="1074">
        <v>253.95</v>
      </c>
      <c r="AC190" s="1074">
        <v>0</v>
      </c>
      <c r="AD190" s="1074">
        <v>0</v>
      </c>
      <c r="AE190" s="1074">
        <v>1813202</v>
      </c>
      <c r="AF190" s="1074" t="s">
        <v>251</v>
      </c>
      <c r="AG190" s="1095">
        <f>VLOOKUP(B190,עזר!A$2:B$329,2,FALSE)</f>
        <v>44153.41</v>
      </c>
      <c r="AH190" s="1074">
        <f t="shared" si="81"/>
        <v>13296.66</v>
      </c>
      <c r="AI190" s="1074">
        <f t="shared" si="82"/>
        <v>57450.070000000007</v>
      </c>
      <c r="AJ190" s="1077">
        <f>VLOOKUP(B190,Sheet1!D$2:K$430,7,FALSE)</f>
        <v>0.6</v>
      </c>
      <c r="AK190" s="1074">
        <f>VLOOKUP(B190,Sheet1!D$2:L$430,8,FALSE)</f>
        <v>10000</v>
      </c>
      <c r="AL190" s="1109">
        <f t="shared" si="88"/>
        <v>0.5</v>
      </c>
      <c r="AM190" s="1074">
        <f t="shared" si="89"/>
        <v>58599.071400000008</v>
      </c>
      <c r="AN190" s="1085">
        <f t="shared" si="85"/>
        <v>0.5</v>
      </c>
      <c r="AO190" s="1074">
        <f t="shared" si="86"/>
        <v>58599.071400000008</v>
      </c>
      <c r="AP190" s="1080"/>
    </row>
    <row r="191" spans="1:42" outlineLevel="2" x14ac:dyDescent="0.2">
      <c r="A191" s="1075">
        <v>506</v>
      </c>
      <c r="B191" s="1078">
        <v>5944922</v>
      </c>
      <c r="C191" s="1075">
        <v>59449223</v>
      </c>
      <c r="D191" s="1075" t="s">
        <v>1329</v>
      </c>
      <c r="E191" s="1075" t="s">
        <v>2189</v>
      </c>
      <c r="F191" s="1075">
        <v>813202</v>
      </c>
      <c r="G191" s="1075" t="s">
        <v>2107</v>
      </c>
      <c r="H191" s="1075">
        <v>90534</v>
      </c>
      <c r="I191" s="1075">
        <v>0</v>
      </c>
      <c r="J191" s="1075">
        <v>5</v>
      </c>
      <c r="K191" s="1075">
        <v>5</v>
      </c>
      <c r="L191" s="1075">
        <v>0</v>
      </c>
      <c r="M191" s="1075" t="s">
        <v>3171</v>
      </c>
      <c r="N191" s="1075" t="s">
        <v>3332</v>
      </c>
      <c r="O191" s="1077">
        <f t="shared" si="87"/>
        <v>0.5</v>
      </c>
      <c r="P191" s="1075">
        <v>50</v>
      </c>
      <c r="Q191" s="1074">
        <v>5553.12</v>
      </c>
      <c r="R191" s="1074">
        <v>821.75</v>
      </c>
      <c r="S191" s="1074">
        <v>147.12</v>
      </c>
      <c r="T191" s="1074">
        <v>4264.3999999999996</v>
      </c>
      <c r="U191" s="1074">
        <v>0</v>
      </c>
      <c r="V191" s="1074">
        <v>0</v>
      </c>
      <c r="W191" s="1074">
        <v>0</v>
      </c>
      <c r="X191" s="1074">
        <v>0</v>
      </c>
      <c r="Y191" s="1074">
        <v>183.95</v>
      </c>
      <c r="Z191" s="1074">
        <v>0</v>
      </c>
      <c r="AA191" s="1074">
        <v>4080.45</v>
      </c>
      <c r="AB191" s="1074">
        <v>319.85000000000002</v>
      </c>
      <c r="AC191" s="1074">
        <v>0</v>
      </c>
      <c r="AD191" s="1074">
        <v>0</v>
      </c>
      <c r="AE191" s="1074">
        <v>1813202</v>
      </c>
      <c r="AF191" s="1074" t="s">
        <v>251</v>
      </c>
      <c r="AG191" s="1095">
        <f>VLOOKUP(B191,עזר!A$2:B$329,2,FALSE)</f>
        <v>63017.16</v>
      </c>
      <c r="AH191" s="1074">
        <f t="shared" si="81"/>
        <v>16659.36</v>
      </c>
      <c r="AI191" s="1074">
        <f t="shared" si="82"/>
        <v>79676.52</v>
      </c>
      <c r="AJ191" s="1077">
        <f>VLOOKUP(B191,Sheet1!D$2:K$430,7,FALSE)</f>
        <v>0.6</v>
      </c>
      <c r="AK191" s="1074">
        <f>VLOOKUP(B191,Sheet1!D$2:L$430,8,FALSE)</f>
        <v>74500</v>
      </c>
      <c r="AL191" s="1109">
        <f t="shared" si="88"/>
        <v>0.5</v>
      </c>
      <c r="AM191" s="1074">
        <f t="shared" si="89"/>
        <v>81270.050400000007</v>
      </c>
      <c r="AN191" s="1085">
        <f t="shared" si="85"/>
        <v>0.5</v>
      </c>
      <c r="AO191" s="1074">
        <f t="shared" si="86"/>
        <v>81270.050400000007</v>
      </c>
      <c r="AP191" s="1080"/>
    </row>
    <row r="192" spans="1:42" outlineLevel="2" x14ac:dyDescent="0.2">
      <c r="A192" s="1075">
        <v>506</v>
      </c>
      <c r="B192" s="1078">
        <v>20579819</v>
      </c>
      <c r="C192" s="1075">
        <v>205798192</v>
      </c>
      <c r="D192" s="1075" t="s">
        <v>2192</v>
      </c>
      <c r="E192" s="1075" t="s">
        <v>2158</v>
      </c>
      <c r="F192" s="1075">
        <v>813202</v>
      </c>
      <c r="G192" s="1075" t="s">
        <v>2107</v>
      </c>
      <c r="H192" s="1075">
        <v>90534</v>
      </c>
      <c r="I192" s="1075">
        <v>0</v>
      </c>
      <c r="J192" s="1075">
        <v>5</v>
      </c>
      <c r="K192" s="1075">
        <v>5</v>
      </c>
      <c r="L192" s="1075">
        <v>0</v>
      </c>
      <c r="M192" s="1075" t="s">
        <v>3171</v>
      </c>
      <c r="N192" s="1075" t="s">
        <v>3333</v>
      </c>
      <c r="O192" s="1077">
        <f t="shared" si="87"/>
        <v>0.5</v>
      </c>
      <c r="P192" s="1075">
        <v>50</v>
      </c>
      <c r="Q192" s="1074">
        <v>7216.33</v>
      </c>
      <c r="R192" s="1074">
        <v>925.8</v>
      </c>
      <c r="S192" s="1074">
        <v>195.6</v>
      </c>
      <c r="T192" s="1074">
        <v>5669.68</v>
      </c>
      <c r="U192" s="1074">
        <v>0</v>
      </c>
      <c r="V192" s="1074">
        <v>0</v>
      </c>
      <c r="W192" s="1074">
        <v>0</v>
      </c>
      <c r="X192" s="1074">
        <v>0</v>
      </c>
      <c r="Y192" s="1074">
        <v>175.75</v>
      </c>
      <c r="Z192" s="1074">
        <v>0</v>
      </c>
      <c r="AA192" s="1074">
        <v>5493.93</v>
      </c>
      <c r="AB192" s="1074">
        <v>425.25</v>
      </c>
      <c r="AC192" s="1074">
        <v>0</v>
      </c>
      <c r="AD192" s="1074">
        <v>0</v>
      </c>
      <c r="AE192" s="1074">
        <v>1813202</v>
      </c>
      <c r="AF192" s="1074" t="s">
        <v>251</v>
      </c>
      <c r="AG192" s="1095">
        <f>VLOOKUP(B192,עזר!A$2:B$329,2,FALSE)</f>
        <v>52379.17</v>
      </c>
      <c r="AH192" s="1074">
        <f t="shared" si="81"/>
        <v>21648.989999999998</v>
      </c>
      <c r="AI192" s="1074">
        <f t="shared" si="82"/>
        <v>74028.160000000003</v>
      </c>
      <c r="AJ192" s="1077">
        <f>VLOOKUP(B192,Sheet1!D$2:K$430,7,FALSE)</f>
        <v>0.6</v>
      </c>
      <c r="AK192" s="1074">
        <f>VLOOKUP(B192,Sheet1!D$2:L$430,8,FALSE)</f>
        <v>55368</v>
      </c>
      <c r="AL192" s="1109">
        <f t="shared" si="88"/>
        <v>0.5</v>
      </c>
      <c r="AM192" s="1074">
        <f t="shared" si="89"/>
        <v>75508.723200000008</v>
      </c>
      <c r="AN192" s="1085">
        <f t="shared" si="85"/>
        <v>0.5</v>
      </c>
      <c r="AO192" s="1074">
        <f t="shared" si="86"/>
        <v>75508.723200000008</v>
      </c>
      <c r="AP192" s="1080"/>
    </row>
    <row r="193" spans="1:42" outlineLevel="1" x14ac:dyDescent="0.2">
      <c r="B193" s="1078"/>
      <c r="F193" s="1088" t="s">
        <v>3106</v>
      </c>
      <c r="O193" s="1077">
        <f>SUBTOTAL(9,O178:O192)</f>
        <v>7.1205555555555549</v>
      </c>
      <c r="Q193" s="1074">
        <f>SUBTOTAL(9,Q178:Q192)</f>
        <v>69849.72</v>
      </c>
      <c r="R193" s="1074"/>
      <c r="S193" s="1074"/>
      <c r="T193" s="1074"/>
      <c r="U193" s="1074"/>
      <c r="V193" s="1074"/>
      <c r="W193" s="1074"/>
      <c r="X193" s="1074"/>
      <c r="Y193" s="1074"/>
      <c r="Z193" s="1074"/>
      <c r="AA193" s="1074"/>
      <c r="AB193" s="1074"/>
      <c r="AC193" s="1074"/>
      <c r="AD193" s="1074"/>
      <c r="AE193" s="1074"/>
      <c r="AF193" s="1074"/>
      <c r="AG193" s="1095">
        <f t="shared" ref="AG193:AM193" si="90">SUBTOTAL(9,AG178:AG192)</f>
        <v>684706.46000000008</v>
      </c>
      <c r="AH193" s="1074">
        <f t="shared" si="90"/>
        <v>209549.15999999997</v>
      </c>
      <c r="AI193" s="1074">
        <f t="shared" si="90"/>
        <v>894255.62</v>
      </c>
      <c r="AJ193" s="1077">
        <f t="shared" si="90"/>
        <v>8.3999999999999986</v>
      </c>
      <c r="AK193" s="1074">
        <f t="shared" si="90"/>
        <v>826967</v>
      </c>
      <c r="AL193" s="1109">
        <f t="shared" si="90"/>
        <v>7.0649999999999995</v>
      </c>
      <c r="AM193" s="1074">
        <f t="shared" si="90"/>
        <v>907775.13240000012</v>
      </c>
      <c r="AP193" s="1080">
        <f>SUBTOTAL(9,AP178:AP192)</f>
        <v>0</v>
      </c>
    </row>
    <row r="194" spans="1:42" outlineLevel="2" x14ac:dyDescent="0.2">
      <c r="A194" s="1075">
        <v>506</v>
      </c>
      <c r="B194" s="1078">
        <v>5517367</v>
      </c>
      <c r="C194" s="1075">
        <v>55173678</v>
      </c>
      <c r="D194" s="1075" t="s">
        <v>2291</v>
      </c>
      <c r="E194" s="1075" t="s">
        <v>2215</v>
      </c>
      <c r="F194" s="1075">
        <v>813204</v>
      </c>
      <c r="G194" s="1075" t="s">
        <v>2107</v>
      </c>
      <c r="H194" s="1075">
        <v>90534</v>
      </c>
      <c r="I194" s="1075">
        <v>0</v>
      </c>
      <c r="J194" s="1075">
        <v>80</v>
      </c>
      <c r="K194" s="1075">
        <v>1</v>
      </c>
      <c r="L194" s="1075">
        <v>2</v>
      </c>
      <c r="M194" s="1075" t="s">
        <v>3176</v>
      </c>
      <c r="N194" s="1075" t="s">
        <v>1076</v>
      </c>
      <c r="O194" s="1077">
        <f>P194/100</f>
        <v>0.5</v>
      </c>
      <c r="P194" s="1075">
        <v>50</v>
      </c>
      <c r="Q194" s="1074">
        <v>6616.49</v>
      </c>
      <c r="R194" s="1074">
        <v>544</v>
      </c>
      <c r="S194" s="1074">
        <v>188.82</v>
      </c>
      <c r="T194" s="1074">
        <v>5473.17</v>
      </c>
      <c r="U194" s="1074">
        <v>0</v>
      </c>
      <c r="V194" s="1074">
        <v>0</v>
      </c>
      <c r="W194" s="1074">
        <v>0</v>
      </c>
      <c r="X194" s="1074">
        <v>0</v>
      </c>
      <c r="Y194" s="1074">
        <v>66.650000000000006</v>
      </c>
      <c r="Z194" s="1074">
        <v>0</v>
      </c>
      <c r="AA194" s="1074">
        <v>5406.52</v>
      </c>
      <c r="AB194" s="1074">
        <v>410.5</v>
      </c>
      <c r="AC194" s="1074">
        <v>0</v>
      </c>
      <c r="AD194" s="1074">
        <v>0</v>
      </c>
      <c r="AE194" s="1074">
        <v>1813204</v>
      </c>
      <c r="AF194" s="1074" t="s">
        <v>251</v>
      </c>
      <c r="AG194" s="1095">
        <f>VLOOKUP(B194,עזר!A$2:B$329,2,FALSE)</f>
        <v>64502</v>
      </c>
      <c r="AH194" s="1074">
        <f>Q194*3</f>
        <v>19849.47</v>
      </c>
      <c r="AI194" s="1074">
        <f>AH194+AG194</f>
        <v>84351.47</v>
      </c>
      <c r="AJ194" s="1077">
        <f>VLOOKUP(B194,Sheet1!D$2:K$430,7,FALSE)</f>
        <v>0.6</v>
      </c>
      <c r="AK194" s="1074">
        <f>VLOOKUP(B194,Sheet1!D$2:L$430,8,FALSE)</f>
        <v>78000</v>
      </c>
      <c r="AL194" s="1109">
        <f>O194</f>
        <v>0.5</v>
      </c>
      <c r="AM194" s="1074">
        <f>AI194*1.02</f>
        <v>86038.499400000001</v>
      </c>
      <c r="AN194" s="1085">
        <f>AL194</f>
        <v>0.5</v>
      </c>
      <c r="AO194" s="1074">
        <f>AM194</f>
        <v>86038.499400000001</v>
      </c>
      <c r="AP194" s="1080"/>
    </row>
    <row r="195" spans="1:42" outlineLevel="1" x14ac:dyDescent="0.2">
      <c r="B195" s="1078"/>
      <c r="F195" s="1088" t="s">
        <v>3107</v>
      </c>
      <c r="O195" s="1077">
        <f>SUBTOTAL(9,O194:O194)</f>
        <v>0.5</v>
      </c>
      <c r="Q195" s="1074">
        <f>SUBTOTAL(9,Q194:Q194)</f>
        <v>6616.49</v>
      </c>
      <c r="R195" s="1074"/>
      <c r="S195" s="1074"/>
      <c r="T195" s="1074"/>
      <c r="U195" s="1074"/>
      <c r="V195" s="1074"/>
      <c r="W195" s="1074"/>
      <c r="X195" s="1074"/>
      <c r="Y195" s="1074"/>
      <c r="Z195" s="1074"/>
      <c r="AA195" s="1074"/>
      <c r="AB195" s="1074"/>
      <c r="AC195" s="1074"/>
      <c r="AD195" s="1074"/>
      <c r="AE195" s="1074"/>
      <c r="AF195" s="1074"/>
      <c r="AG195" s="1095">
        <f t="shared" ref="AG195:AM195" si="91">SUBTOTAL(9,AG194:AG194)</f>
        <v>64502</v>
      </c>
      <c r="AH195" s="1074">
        <f t="shared" si="91"/>
        <v>19849.47</v>
      </c>
      <c r="AI195" s="1074">
        <f t="shared" si="91"/>
        <v>84351.47</v>
      </c>
      <c r="AJ195" s="1077">
        <f t="shared" si="91"/>
        <v>0.6</v>
      </c>
      <c r="AK195" s="1074">
        <f t="shared" si="91"/>
        <v>78000</v>
      </c>
      <c r="AL195" s="1109">
        <f t="shared" si="91"/>
        <v>0.5</v>
      </c>
      <c r="AM195" s="1074">
        <f t="shared" si="91"/>
        <v>86038.499400000001</v>
      </c>
      <c r="AP195" s="1080">
        <f>SUBTOTAL(9,AP194:AP194)</f>
        <v>0</v>
      </c>
    </row>
    <row r="196" spans="1:42" outlineLevel="2" x14ac:dyDescent="0.2">
      <c r="A196" s="1075">
        <v>506</v>
      </c>
      <c r="B196" s="1078">
        <v>2587900</v>
      </c>
      <c r="C196" s="1075">
        <v>25879008</v>
      </c>
      <c r="D196" s="1075" t="s">
        <v>1329</v>
      </c>
      <c r="E196" s="1075" t="s">
        <v>1776</v>
      </c>
      <c r="F196" s="1075">
        <v>813300</v>
      </c>
      <c r="G196" s="1075" t="s">
        <v>2107</v>
      </c>
      <c r="H196" s="1075">
        <v>90534</v>
      </c>
      <c r="I196" s="1075">
        <v>1</v>
      </c>
      <c r="J196" s="1075">
        <v>0</v>
      </c>
      <c r="K196" s="1075">
        <v>0</v>
      </c>
      <c r="L196" s="1075">
        <v>0</v>
      </c>
      <c r="M196" s="1075" t="s">
        <v>3176</v>
      </c>
      <c r="N196" s="1075" t="s">
        <v>1222</v>
      </c>
      <c r="O196" s="1077">
        <f t="shared" ref="O196:O202" si="92">P196/100</f>
        <v>0</v>
      </c>
      <c r="P196" s="1075">
        <v>0</v>
      </c>
      <c r="Q196" s="1074">
        <v>3998.17</v>
      </c>
      <c r="R196" s="1074">
        <v>620.9</v>
      </c>
      <c r="S196" s="1074">
        <v>105.02</v>
      </c>
      <c r="T196" s="1074">
        <v>3043.95</v>
      </c>
      <c r="U196" s="1074">
        <v>0</v>
      </c>
      <c r="V196" s="1074">
        <v>0</v>
      </c>
      <c r="W196" s="1074">
        <v>0</v>
      </c>
      <c r="X196" s="1074">
        <v>0</v>
      </c>
      <c r="Y196" s="1074">
        <v>87.15</v>
      </c>
      <c r="Z196" s="1074">
        <v>0</v>
      </c>
      <c r="AA196" s="1074">
        <v>2956.8</v>
      </c>
      <c r="AB196" s="1074">
        <v>228.3</v>
      </c>
      <c r="AC196" s="1074">
        <v>0</v>
      </c>
      <c r="AD196" s="1074">
        <v>0</v>
      </c>
      <c r="AE196" s="1074">
        <v>1813300</v>
      </c>
      <c r="AF196" s="1074" t="s">
        <v>251</v>
      </c>
      <c r="AG196" s="1095">
        <f>VLOOKUP(B196,עזר!A$2:B$329,2,FALSE)</f>
        <v>53606.5</v>
      </c>
      <c r="AH196" s="1074">
        <f t="shared" ref="AH196:AH202" si="93">Q196*3</f>
        <v>11994.51</v>
      </c>
      <c r="AI196" s="1074">
        <f t="shared" ref="AI196:AI202" si="94">AH196+AG196</f>
        <v>65601.009999999995</v>
      </c>
      <c r="AJ196" s="1077">
        <f>VLOOKUP(B196,Sheet1!D$2:K$430,7,FALSE)</f>
        <v>0.85</v>
      </c>
      <c r="AK196" s="1074">
        <f>VLOOKUP(B196,Sheet1!D$2:L$430,8,FALSE)</f>
        <v>22000</v>
      </c>
      <c r="AL196" s="1109">
        <v>0.7</v>
      </c>
      <c r="AM196" s="1074">
        <f t="shared" ref="AM196:AM202" si="95">AI196*1.02</f>
        <v>66913.030199999994</v>
      </c>
      <c r="AN196" s="1085">
        <f t="shared" ref="AN196:AO202" si="96">AL196</f>
        <v>0.7</v>
      </c>
      <c r="AO196" s="1074">
        <f t="shared" si="96"/>
        <v>66913.030199999994</v>
      </c>
      <c r="AP196" s="1080"/>
    </row>
    <row r="197" spans="1:42" outlineLevel="2" x14ac:dyDescent="0.2">
      <c r="A197" s="1075">
        <v>506</v>
      </c>
      <c r="B197" s="1078">
        <v>2643576</v>
      </c>
      <c r="C197" s="1075">
        <v>26435768</v>
      </c>
      <c r="D197" s="1075" t="s">
        <v>1419</v>
      </c>
      <c r="E197" s="1075" t="s">
        <v>2115</v>
      </c>
      <c r="F197" s="1075">
        <v>813300</v>
      </c>
      <c r="G197" s="1075" t="s">
        <v>2107</v>
      </c>
      <c r="H197" s="1075">
        <v>90534</v>
      </c>
      <c r="I197" s="1075">
        <v>0</v>
      </c>
      <c r="J197" s="1075">
        <v>5</v>
      </c>
      <c r="K197" s="1075">
        <v>37</v>
      </c>
      <c r="L197" s="1075">
        <v>0</v>
      </c>
      <c r="M197" s="1075" t="s">
        <v>3176</v>
      </c>
      <c r="N197" s="1075" t="s">
        <v>1222</v>
      </c>
      <c r="O197" s="1077">
        <f t="shared" si="92"/>
        <v>0.8</v>
      </c>
      <c r="P197" s="1075">
        <v>80</v>
      </c>
      <c r="Q197" s="1074">
        <v>6641.8</v>
      </c>
      <c r="R197" s="1074">
        <v>1034.3</v>
      </c>
      <c r="S197" s="1074">
        <v>174.37</v>
      </c>
      <c r="T197" s="1074">
        <v>5054.08</v>
      </c>
      <c r="U197" s="1074">
        <v>0</v>
      </c>
      <c r="V197" s="1074">
        <v>0</v>
      </c>
      <c r="W197" s="1074">
        <v>0</v>
      </c>
      <c r="X197" s="1074">
        <v>0</v>
      </c>
      <c r="Y197" s="1074">
        <v>116.45</v>
      </c>
      <c r="Z197" s="1074">
        <v>0</v>
      </c>
      <c r="AA197" s="1074">
        <v>4937.63</v>
      </c>
      <c r="AB197" s="1074">
        <v>379.05</v>
      </c>
      <c r="AC197" s="1074">
        <v>0</v>
      </c>
      <c r="AD197" s="1074">
        <v>0</v>
      </c>
      <c r="AE197" s="1074">
        <v>1813300</v>
      </c>
      <c r="AF197" s="1074" t="s">
        <v>251</v>
      </c>
      <c r="AG197" s="1095">
        <f>VLOOKUP(B197,עזר!A$2:B$329,2,FALSE)</f>
        <v>65083.98</v>
      </c>
      <c r="AH197" s="1074">
        <f t="shared" si="93"/>
        <v>19925.400000000001</v>
      </c>
      <c r="AI197" s="1074">
        <f t="shared" si="94"/>
        <v>85009.38</v>
      </c>
      <c r="AJ197" s="1077">
        <f>VLOOKUP(B197,Sheet1!D$2:K$430,7,FALSE)</f>
        <v>0.42</v>
      </c>
      <c r="AK197" s="1074">
        <f>VLOOKUP(B197,Sheet1!D$2:L$430,8,FALSE)</f>
        <v>79000</v>
      </c>
      <c r="AL197" s="1109">
        <f t="shared" ref="AL197:AL202" si="97">O197</f>
        <v>0.8</v>
      </c>
      <c r="AM197" s="1074">
        <f t="shared" si="95"/>
        <v>86709.567600000009</v>
      </c>
      <c r="AN197" s="1085">
        <f t="shared" si="96"/>
        <v>0.8</v>
      </c>
      <c r="AO197" s="1074">
        <f t="shared" si="96"/>
        <v>86709.567600000009</v>
      </c>
      <c r="AP197" s="1080"/>
    </row>
    <row r="198" spans="1:42" outlineLevel="2" x14ac:dyDescent="0.2">
      <c r="A198" s="1075">
        <v>506</v>
      </c>
      <c r="B198" s="1078">
        <v>2815420</v>
      </c>
      <c r="C198" s="1075">
        <v>28154201</v>
      </c>
      <c r="D198" s="1075" t="s">
        <v>2193</v>
      </c>
      <c r="E198" s="1075" t="s">
        <v>2167</v>
      </c>
      <c r="F198" s="1075">
        <v>813300</v>
      </c>
      <c r="G198" s="1075" t="s">
        <v>2107</v>
      </c>
      <c r="H198" s="1075">
        <v>90534</v>
      </c>
      <c r="I198" s="1075">
        <v>0</v>
      </c>
      <c r="J198" s="1075">
        <v>5</v>
      </c>
      <c r="K198" s="1075">
        <v>7</v>
      </c>
      <c r="L198" s="1075">
        <v>0</v>
      </c>
      <c r="M198" s="1075" t="s">
        <v>3176</v>
      </c>
      <c r="N198" s="1075" t="s">
        <v>1222</v>
      </c>
      <c r="O198" s="1077">
        <f t="shared" si="92"/>
        <v>0.8</v>
      </c>
      <c r="P198" s="1075">
        <v>80</v>
      </c>
      <c r="Q198" s="1074">
        <v>6757.42</v>
      </c>
      <c r="R198" s="1074">
        <v>1159.6500000000001</v>
      </c>
      <c r="S198" s="1074">
        <v>175.38</v>
      </c>
      <c r="T198" s="1074">
        <v>5041.1400000000003</v>
      </c>
      <c r="U198" s="1074">
        <v>0</v>
      </c>
      <c r="V198" s="1074">
        <v>0</v>
      </c>
      <c r="W198" s="1074">
        <v>0</v>
      </c>
      <c r="X198" s="1074">
        <v>0</v>
      </c>
      <c r="Y198" s="1074">
        <v>135.1</v>
      </c>
      <c r="Z198" s="1074">
        <v>0</v>
      </c>
      <c r="AA198" s="1074">
        <v>4906.04</v>
      </c>
      <c r="AB198" s="1074">
        <v>381.25</v>
      </c>
      <c r="AC198" s="1074">
        <v>0</v>
      </c>
      <c r="AD198" s="1074">
        <v>0</v>
      </c>
      <c r="AE198" s="1074">
        <v>1813300</v>
      </c>
      <c r="AF198" s="1074" t="s">
        <v>251</v>
      </c>
      <c r="AG198" s="1095">
        <f>VLOOKUP(B198,עזר!A$2:B$329,2,FALSE)</f>
        <v>67558.37</v>
      </c>
      <c r="AH198" s="1074">
        <f t="shared" si="93"/>
        <v>20272.260000000002</v>
      </c>
      <c r="AI198" s="1074">
        <f t="shared" si="94"/>
        <v>87830.63</v>
      </c>
      <c r="AJ198" s="1077">
        <f>VLOOKUP(B198,Sheet1!D$2:K$430,7,FALSE)</f>
        <v>0.8</v>
      </c>
      <c r="AK198" s="1074">
        <f>VLOOKUP(B198,Sheet1!D$2:L$430,8,FALSE)</f>
        <v>83000</v>
      </c>
      <c r="AL198" s="1109">
        <f t="shared" si="97"/>
        <v>0.8</v>
      </c>
      <c r="AM198" s="1074">
        <f t="shared" si="95"/>
        <v>89587.242600000012</v>
      </c>
      <c r="AN198" s="1085">
        <f t="shared" si="96"/>
        <v>0.8</v>
      </c>
      <c r="AO198" s="1074">
        <f t="shared" si="96"/>
        <v>89587.242600000012</v>
      </c>
      <c r="AP198" s="1080"/>
    </row>
    <row r="199" spans="1:42" outlineLevel="2" x14ac:dyDescent="0.2">
      <c r="A199" s="1075">
        <v>506</v>
      </c>
      <c r="B199" s="1078">
        <v>2820879</v>
      </c>
      <c r="C199" s="1075">
        <v>28208791</v>
      </c>
      <c r="D199" s="1075" t="s">
        <v>2180</v>
      </c>
      <c r="E199" s="1075" t="s">
        <v>1561</v>
      </c>
      <c r="F199" s="1075">
        <v>813300</v>
      </c>
      <c r="G199" s="1075" t="s">
        <v>2107</v>
      </c>
      <c r="H199" s="1075">
        <v>90534</v>
      </c>
      <c r="I199" s="1075">
        <v>0</v>
      </c>
      <c r="J199" s="1075">
        <v>5</v>
      </c>
      <c r="K199" s="1075">
        <v>37</v>
      </c>
      <c r="L199" s="1075">
        <v>0</v>
      </c>
      <c r="M199" s="1075" t="s">
        <v>3176</v>
      </c>
      <c r="N199" s="1075" t="s">
        <v>1222</v>
      </c>
      <c r="O199" s="1077">
        <f t="shared" si="92"/>
        <v>0.42</v>
      </c>
      <c r="P199" s="1075">
        <v>42</v>
      </c>
      <c r="Q199" s="1074">
        <v>3527.57</v>
      </c>
      <c r="R199" s="1074">
        <v>545.79999999999995</v>
      </c>
      <c r="S199" s="1074">
        <v>92.72</v>
      </c>
      <c r="T199" s="1074">
        <v>2687.5</v>
      </c>
      <c r="U199" s="1074">
        <v>0</v>
      </c>
      <c r="V199" s="1074">
        <v>0</v>
      </c>
      <c r="W199" s="1074">
        <v>0</v>
      </c>
      <c r="X199" s="1074">
        <v>0</v>
      </c>
      <c r="Y199" s="1074">
        <v>88.2</v>
      </c>
      <c r="Z199" s="1074">
        <v>0</v>
      </c>
      <c r="AA199" s="1074">
        <v>2599.3000000000002</v>
      </c>
      <c r="AB199" s="1074">
        <v>201.55</v>
      </c>
      <c r="AC199" s="1074">
        <v>0</v>
      </c>
      <c r="AD199" s="1074">
        <v>0</v>
      </c>
      <c r="AE199" s="1074">
        <v>1813300</v>
      </c>
      <c r="AF199" s="1074" t="s">
        <v>251</v>
      </c>
      <c r="AG199" s="1095">
        <f>VLOOKUP(B199,עזר!A$2:B$329,2,FALSE)</f>
        <v>34936.22</v>
      </c>
      <c r="AH199" s="1074">
        <f t="shared" si="93"/>
        <v>10582.710000000001</v>
      </c>
      <c r="AI199" s="1074">
        <f t="shared" si="94"/>
        <v>45518.93</v>
      </c>
      <c r="AJ199" s="1077">
        <f>VLOOKUP(B199,Sheet1!D$2:K$430,7,FALSE)</f>
        <v>0.83</v>
      </c>
      <c r="AK199" s="1074">
        <f>VLOOKUP(B199,Sheet1!D$2:L$430,8,FALSE)</f>
        <v>42000</v>
      </c>
      <c r="AL199" s="1109">
        <f t="shared" si="97"/>
        <v>0.42</v>
      </c>
      <c r="AM199" s="1074">
        <f t="shared" si="95"/>
        <v>46429.308600000004</v>
      </c>
      <c r="AN199" s="1085">
        <f t="shared" si="96"/>
        <v>0.42</v>
      </c>
      <c r="AO199" s="1074">
        <f t="shared" si="96"/>
        <v>46429.308600000004</v>
      </c>
      <c r="AP199" s="1080"/>
    </row>
    <row r="200" spans="1:42" outlineLevel="2" x14ac:dyDescent="0.2">
      <c r="A200" s="1075">
        <v>506</v>
      </c>
      <c r="B200" s="1078">
        <v>3408418</v>
      </c>
      <c r="C200" s="1075">
        <v>34084186</v>
      </c>
      <c r="D200" s="1075" t="s">
        <v>1390</v>
      </c>
      <c r="E200" s="1075" t="s">
        <v>2194</v>
      </c>
      <c r="F200" s="1075">
        <v>813300</v>
      </c>
      <c r="G200" s="1075" t="s">
        <v>2107</v>
      </c>
      <c r="H200" s="1075">
        <v>90534</v>
      </c>
      <c r="I200" s="1075">
        <v>1</v>
      </c>
      <c r="J200" s="1075">
        <v>0</v>
      </c>
      <c r="K200" s="1075">
        <v>0</v>
      </c>
      <c r="L200" s="1075">
        <v>0</v>
      </c>
      <c r="M200" s="1075" t="s">
        <v>3176</v>
      </c>
      <c r="N200" s="1075" t="s">
        <v>1222</v>
      </c>
      <c r="O200" s="1077">
        <f t="shared" si="92"/>
        <v>0</v>
      </c>
      <c r="P200" s="1075">
        <v>0</v>
      </c>
      <c r="Q200" s="1074">
        <v>1963.32</v>
      </c>
      <c r="R200" s="1074">
        <v>296.75</v>
      </c>
      <c r="S200" s="1074">
        <v>51.82</v>
      </c>
      <c r="T200" s="1074">
        <v>1502.1</v>
      </c>
      <c r="U200" s="1074">
        <v>0</v>
      </c>
      <c r="V200" s="1074">
        <v>0</v>
      </c>
      <c r="W200" s="1074">
        <v>0</v>
      </c>
      <c r="X200" s="1074">
        <v>0</v>
      </c>
      <c r="Y200" s="1074">
        <v>77.45</v>
      </c>
      <c r="Z200" s="1074">
        <v>0</v>
      </c>
      <c r="AA200" s="1074">
        <v>1424.65</v>
      </c>
      <c r="AB200" s="1074">
        <v>112.65</v>
      </c>
      <c r="AC200" s="1074">
        <v>0</v>
      </c>
      <c r="AD200" s="1074">
        <v>0</v>
      </c>
      <c r="AE200" s="1074">
        <v>1813300</v>
      </c>
      <c r="AF200" s="1074" t="s">
        <v>251</v>
      </c>
      <c r="AG200" s="1095">
        <f>VLOOKUP(B200,עזר!A$2:B$329,2,FALSE)</f>
        <v>27157.83</v>
      </c>
      <c r="AH200" s="1074">
        <f t="shared" si="93"/>
        <v>5889.96</v>
      </c>
      <c r="AI200" s="1074">
        <f t="shared" si="94"/>
        <v>33047.79</v>
      </c>
      <c r="AJ200" s="1077">
        <f>VLOOKUP(B200,Sheet1!D$2:K$430,7,FALSE)</f>
        <v>0.7</v>
      </c>
      <c r="AK200" s="1074">
        <f>VLOOKUP(B200,Sheet1!D$2:L$430,8,FALSE)</f>
        <v>41000</v>
      </c>
      <c r="AL200" s="1109">
        <f t="shared" si="97"/>
        <v>0</v>
      </c>
      <c r="AM200" s="1074">
        <f t="shared" si="95"/>
        <v>33708.745800000004</v>
      </c>
      <c r="AN200" s="1085">
        <f t="shared" si="96"/>
        <v>0</v>
      </c>
      <c r="AO200" s="1074">
        <f t="shared" si="96"/>
        <v>33708.745800000004</v>
      </c>
      <c r="AP200" s="1080"/>
    </row>
    <row r="201" spans="1:42" outlineLevel="2" x14ac:dyDescent="0.2">
      <c r="A201" s="1075">
        <v>506</v>
      </c>
      <c r="B201" s="1078">
        <v>5987470</v>
      </c>
      <c r="C201" s="1075">
        <v>59874701</v>
      </c>
      <c r="D201" s="1075" t="s">
        <v>1329</v>
      </c>
      <c r="E201" s="1075" t="s">
        <v>2195</v>
      </c>
      <c r="F201" s="1075">
        <v>813300</v>
      </c>
      <c r="G201" s="1075" t="s">
        <v>2107</v>
      </c>
      <c r="H201" s="1075">
        <v>90534</v>
      </c>
      <c r="I201" s="1075">
        <v>0</v>
      </c>
      <c r="J201" s="1075">
        <v>5</v>
      </c>
      <c r="K201" s="1075">
        <v>6</v>
      </c>
      <c r="L201" s="1075">
        <v>0</v>
      </c>
      <c r="M201" s="1075" t="s">
        <v>3176</v>
      </c>
      <c r="N201" s="1075" t="s">
        <v>1222</v>
      </c>
      <c r="O201" s="1077">
        <f t="shared" si="92"/>
        <v>0.8</v>
      </c>
      <c r="P201" s="1075">
        <v>80</v>
      </c>
      <c r="Q201" s="1074">
        <v>6178.93</v>
      </c>
      <c r="R201" s="1074">
        <v>1056.6500000000001</v>
      </c>
      <c r="S201" s="1074">
        <v>159.28</v>
      </c>
      <c r="T201" s="1074">
        <v>4616.75</v>
      </c>
      <c r="U201" s="1074">
        <v>0</v>
      </c>
      <c r="V201" s="1074">
        <v>0</v>
      </c>
      <c r="W201" s="1074">
        <v>0</v>
      </c>
      <c r="X201" s="1074">
        <v>0</v>
      </c>
      <c r="Y201" s="1074">
        <v>111.45</v>
      </c>
      <c r="Z201" s="1074">
        <v>0</v>
      </c>
      <c r="AA201" s="1074">
        <v>4505.3</v>
      </c>
      <c r="AB201" s="1074">
        <v>346.25</v>
      </c>
      <c r="AC201" s="1074">
        <v>0</v>
      </c>
      <c r="AD201" s="1074">
        <v>0</v>
      </c>
      <c r="AE201" s="1074">
        <v>1813300</v>
      </c>
      <c r="AF201" s="1074" t="s">
        <v>251</v>
      </c>
      <c r="AG201" s="1095">
        <f>VLOOKUP(B201,עזר!A$2:B$329,2,FALSE)</f>
        <v>63110.81</v>
      </c>
      <c r="AH201" s="1074">
        <f t="shared" si="93"/>
        <v>18536.79</v>
      </c>
      <c r="AI201" s="1074">
        <f t="shared" si="94"/>
        <v>81647.600000000006</v>
      </c>
      <c r="AJ201" s="1077">
        <f>VLOOKUP(B201,Sheet1!D$2:K$430,7,FALSE)</f>
        <v>0</v>
      </c>
      <c r="AK201" s="1074">
        <f>VLOOKUP(B201,Sheet1!D$2:L$430,8,FALSE)</f>
        <v>79000</v>
      </c>
      <c r="AL201" s="1109">
        <f t="shared" si="97"/>
        <v>0.8</v>
      </c>
      <c r="AM201" s="1074">
        <f t="shared" si="95"/>
        <v>83280.552000000011</v>
      </c>
      <c r="AN201" s="1085">
        <f t="shared" si="96"/>
        <v>0.8</v>
      </c>
      <c r="AO201" s="1074">
        <f t="shared" si="96"/>
        <v>83280.552000000011</v>
      </c>
      <c r="AP201" s="1080"/>
    </row>
    <row r="202" spans="1:42" outlineLevel="2" x14ac:dyDescent="0.2">
      <c r="A202" s="1075">
        <v>506</v>
      </c>
      <c r="B202" s="1078">
        <v>304758634</v>
      </c>
      <c r="C202" s="1075">
        <v>304758634</v>
      </c>
      <c r="D202" s="1075" t="s">
        <v>2196</v>
      </c>
      <c r="E202" s="1075" t="s">
        <v>1557</v>
      </c>
      <c r="F202" s="1075">
        <v>813300</v>
      </c>
      <c r="G202" s="1075" t="s">
        <v>2107</v>
      </c>
      <c r="H202" s="1075">
        <v>90534</v>
      </c>
      <c r="I202" s="1075">
        <v>0</v>
      </c>
      <c r="J202" s="1075">
        <v>5</v>
      </c>
      <c r="K202" s="1075">
        <v>6</v>
      </c>
      <c r="L202" s="1075">
        <v>0</v>
      </c>
      <c r="M202" s="1075" t="s">
        <v>3176</v>
      </c>
      <c r="N202" s="1075" t="s">
        <v>1222</v>
      </c>
      <c r="O202" s="1077">
        <f t="shared" si="92"/>
        <v>0.8</v>
      </c>
      <c r="P202" s="1075">
        <v>80</v>
      </c>
      <c r="Q202" s="1074">
        <v>6083.07</v>
      </c>
      <c r="R202" s="1074">
        <v>1042.95</v>
      </c>
      <c r="S202" s="1074">
        <v>156.72</v>
      </c>
      <c r="T202" s="1074">
        <v>4542.7</v>
      </c>
      <c r="U202" s="1074">
        <v>0</v>
      </c>
      <c r="V202" s="1074">
        <v>0</v>
      </c>
      <c r="W202" s="1074">
        <v>0</v>
      </c>
      <c r="X202" s="1074">
        <v>0</v>
      </c>
      <c r="Y202" s="1074">
        <v>92.1</v>
      </c>
      <c r="Z202" s="1074">
        <v>0</v>
      </c>
      <c r="AA202" s="1074">
        <v>4450.6000000000004</v>
      </c>
      <c r="AB202" s="1074">
        <v>340.7</v>
      </c>
      <c r="AC202" s="1074">
        <v>0</v>
      </c>
      <c r="AD202" s="1074">
        <v>0</v>
      </c>
      <c r="AE202" s="1074">
        <v>1813300</v>
      </c>
      <c r="AF202" s="1074" t="s">
        <v>251</v>
      </c>
      <c r="AG202" s="1095">
        <f>VLOOKUP(B202,עזר!A$2:B$329,2,FALSE)</f>
        <v>59772.22</v>
      </c>
      <c r="AH202" s="1074">
        <f t="shared" si="93"/>
        <v>18249.21</v>
      </c>
      <c r="AI202" s="1074">
        <f t="shared" si="94"/>
        <v>78021.429999999993</v>
      </c>
      <c r="AJ202" s="1077">
        <f>VLOOKUP(B202,Sheet1!D$2:K$430,7,FALSE)</f>
        <v>0</v>
      </c>
      <c r="AK202" s="1074">
        <f>VLOOKUP(B202,Sheet1!D$2:L$430,8,FALSE)</f>
        <v>67000</v>
      </c>
      <c r="AL202" s="1109">
        <f t="shared" si="97"/>
        <v>0.8</v>
      </c>
      <c r="AM202" s="1074">
        <f t="shared" si="95"/>
        <v>79581.858599999992</v>
      </c>
      <c r="AN202" s="1085">
        <f t="shared" si="96"/>
        <v>0.8</v>
      </c>
      <c r="AO202" s="1074">
        <f t="shared" si="96"/>
        <v>79581.858599999992</v>
      </c>
      <c r="AP202" s="1080"/>
    </row>
    <row r="203" spans="1:42" outlineLevel="1" x14ac:dyDescent="0.2">
      <c r="B203" s="1078"/>
      <c r="F203" s="1088" t="s">
        <v>3108</v>
      </c>
      <c r="O203" s="1077">
        <f>SUBTOTAL(9,O196:O202)</f>
        <v>3.62</v>
      </c>
      <c r="Q203" s="1074">
        <f>SUBTOTAL(9,Q196:Q202)</f>
        <v>35150.28</v>
      </c>
      <c r="R203" s="1074"/>
      <c r="S203" s="1074"/>
      <c r="T203" s="1074"/>
      <c r="U203" s="1074"/>
      <c r="V203" s="1074"/>
      <c r="W203" s="1074"/>
      <c r="X203" s="1074"/>
      <c r="Y203" s="1074"/>
      <c r="Z203" s="1074"/>
      <c r="AA203" s="1074"/>
      <c r="AB203" s="1074"/>
      <c r="AC203" s="1074"/>
      <c r="AD203" s="1074"/>
      <c r="AE203" s="1074"/>
      <c r="AF203" s="1074"/>
      <c r="AG203" s="1095">
        <f t="shared" ref="AG203:AM203" si="98">SUBTOTAL(9,AG196:AG202)</f>
        <v>371225.93000000005</v>
      </c>
      <c r="AH203" s="1074">
        <f t="shared" si="98"/>
        <v>105450.84</v>
      </c>
      <c r="AI203" s="1074">
        <f t="shared" si="98"/>
        <v>476676.76999999996</v>
      </c>
      <c r="AJ203" s="1077">
        <f t="shared" si="98"/>
        <v>3.6000000000000005</v>
      </c>
      <c r="AK203" s="1074">
        <f t="shared" si="98"/>
        <v>413000</v>
      </c>
      <c r="AL203" s="1109">
        <f t="shared" si="98"/>
        <v>4.3199999999999994</v>
      </c>
      <c r="AM203" s="1074">
        <f t="shared" si="98"/>
        <v>486210.30540000001</v>
      </c>
      <c r="AP203" s="1080">
        <f>SUBTOTAL(9,AP196:AP202)</f>
        <v>0</v>
      </c>
    </row>
    <row r="204" spans="1:42" outlineLevel="2" x14ac:dyDescent="0.2">
      <c r="A204" s="1075">
        <v>506</v>
      </c>
      <c r="B204" s="1078">
        <v>2597635</v>
      </c>
      <c r="C204" s="1075">
        <v>25976358</v>
      </c>
      <c r="D204" s="1075" t="s">
        <v>2164</v>
      </c>
      <c r="E204" s="1075" t="s">
        <v>2292</v>
      </c>
      <c r="F204" s="1075">
        <v>813301</v>
      </c>
      <c r="G204" s="1075" t="s">
        <v>2107</v>
      </c>
      <c r="H204" s="1075">
        <v>90534</v>
      </c>
      <c r="I204" s="1075">
        <v>1</v>
      </c>
      <c r="J204" s="1075">
        <v>0</v>
      </c>
      <c r="K204" s="1075">
        <v>0</v>
      </c>
      <c r="L204" s="1075">
        <v>0</v>
      </c>
      <c r="M204" s="1075" t="s">
        <v>3176</v>
      </c>
      <c r="N204" s="1075" t="s">
        <v>3178</v>
      </c>
      <c r="O204" s="1077">
        <f>P204/100</f>
        <v>0</v>
      </c>
      <c r="P204" s="1075">
        <v>0</v>
      </c>
      <c r="Q204" s="1074">
        <v>2923.41</v>
      </c>
      <c r="R204" s="1074">
        <v>451.6</v>
      </c>
      <c r="S204" s="1074">
        <v>76.86</v>
      </c>
      <c r="T204" s="1074">
        <v>2227.85</v>
      </c>
      <c r="U204" s="1074">
        <v>0</v>
      </c>
      <c r="V204" s="1074">
        <v>0</v>
      </c>
      <c r="W204" s="1074">
        <v>0</v>
      </c>
      <c r="X204" s="1074">
        <v>0</v>
      </c>
      <c r="Y204" s="1074">
        <v>77.45</v>
      </c>
      <c r="Z204" s="1074">
        <v>0</v>
      </c>
      <c r="AA204" s="1074">
        <v>2150.4</v>
      </c>
      <c r="AB204" s="1074">
        <v>167.1</v>
      </c>
      <c r="AC204" s="1074">
        <v>0</v>
      </c>
      <c r="AD204" s="1074">
        <v>0</v>
      </c>
      <c r="AE204" s="1074">
        <v>1813301</v>
      </c>
      <c r="AF204" s="1074" t="s">
        <v>251</v>
      </c>
      <c r="AG204" s="1095">
        <f>VLOOKUP(B204,עזר!A$2:B$329,2,FALSE)</f>
        <v>34663.93</v>
      </c>
      <c r="AH204" s="1074">
        <f>Q204*3</f>
        <v>8770.23</v>
      </c>
      <c r="AI204" s="1074">
        <f>AH204+AG204</f>
        <v>43434.16</v>
      </c>
      <c r="AJ204" s="1077">
        <f>VLOOKUP(B204,Sheet1!D$2:K$430,7,FALSE)</f>
        <v>0.35294117647058826</v>
      </c>
      <c r="AK204" s="1074">
        <f>VLOOKUP(B204,Sheet1!D$2:L$430,8,FALSE)</f>
        <v>44050</v>
      </c>
      <c r="AL204" s="1109">
        <f>O204</f>
        <v>0</v>
      </c>
      <c r="AM204" s="1074">
        <f>AI204*1.02</f>
        <v>44302.843200000003</v>
      </c>
      <c r="AN204" s="1085">
        <f t="shared" ref="AN204:AO206" si="99">AL204</f>
        <v>0</v>
      </c>
      <c r="AO204" s="1074">
        <f t="shared" si="99"/>
        <v>44302.843200000003</v>
      </c>
      <c r="AP204" s="1080"/>
    </row>
    <row r="205" spans="1:42" outlineLevel="2" x14ac:dyDescent="0.2">
      <c r="A205" s="1075">
        <v>506</v>
      </c>
      <c r="B205" s="1078">
        <v>4008443</v>
      </c>
      <c r="C205" s="1075">
        <v>40084436</v>
      </c>
      <c r="D205" s="1075" t="s">
        <v>2230</v>
      </c>
      <c r="E205" s="1075" t="s">
        <v>2293</v>
      </c>
      <c r="F205" s="1075">
        <v>813301</v>
      </c>
      <c r="G205" s="1075" t="s">
        <v>2107</v>
      </c>
      <c r="H205" s="1075">
        <v>90534</v>
      </c>
      <c r="I205" s="1075">
        <v>1</v>
      </c>
      <c r="J205" s="1075">
        <v>0</v>
      </c>
      <c r="K205" s="1075">
        <v>0</v>
      </c>
      <c r="L205" s="1075">
        <v>0</v>
      </c>
      <c r="M205" s="1075" t="s">
        <v>3176</v>
      </c>
      <c r="N205" s="1075" t="s">
        <v>3178</v>
      </c>
      <c r="O205" s="1077">
        <f>P205/100</f>
        <v>0</v>
      </c>
      <c r="P205" s="1075">
        <v>0</v>
      </c>
      <c r="Q205" s="1074">
        <v>1745.98</v>
      </c>
      <c r="R205" s="1074">
        <v>262.5</v>
      </c>
      <c r="S205" s="1074">
        <v>46.13</v>
      </c>
      <c r="T205" s="1074">
        <v>1337.05</v>
      </c>
      <c r="U205" s="1074">
        <v>0</v>
      </c>
      <c r="V205" s="1074">
        <v>0</v>
      </c>
      <c r="W205" s="1074">
        <v>0</v>
      </c>
      <c r="X205" s="1074">
        <v>0</v>
      </c>
      <c r="Y205" s="1074">
        <v>87.15</v>
      </c>
      <c r="Z205" s="1074">
        <v>0</v>
      </c>
      <c r="AA205" s="1074">
        <v>1249.9000000000001</v>
      </c>
      <c r="AB205" s="1074">
        <v>100.3</v>
      </c>
      <c r="AC205" s="1074">
        <v>0</v>
      </c>
      <c r="AD205" s="1074">
        <v>0</v>
      </c>
      <c r="AE205" s="1074">
        <v>1813301</v>
      </c>
      <c r="AF205" s="1074" t="s">
        <v>251</v>
      </c>
      <c r="AG205" s="1095">
        <f>VLOOKUP(B205,עזר!A$2:B$329,2,FALSE)</f>
        <v>35910.25</v>
      </c>
      <c r="AH205" s="1074">
        <f>Q205*3</f>
        <v>5237.9400000000005</v>
      </c>
      <c r="AI205" s="1074">
        <f>AH205+AG205</f>
        <v>41148.19</v>
      </c>
      <c r="AJ205" s="1077">
        <f>VLOOKUP(B205,Sheet1!D$2:K$430,7,FALSE)</f>
        <v>0</v>
      </c>
      <c r="AK205" s="1074">
        <f>VLOOKUP(B205,Sheet1!D$2:L$430,8,FALSE)</f>
        <v>0</v>
      </c>
      <c r="AL205" s="1109">
        <f>O205</f>
        <v>0</v>
      </c>
      <c r="AM205" s="1074">
        <f>AI205*1.02</f>
        <v>41971.1538</v>
      </c>
      <c r="AN205" s="1085">
        <f t="shared" si="99"/>
        <v>0</v>
      </c>
      <c r="AO205" s="1074">
        <f t="shared" si="99"/>
        <v>41971.1538</v>
      </c>
      <c r="AP205" s="1080"/>
    </row>
    <row r="206" spans="1:42" outlineLevel="2" x14ac:dyDescent="0.2">
      <c r="A206" s="1075">
        <v>506</v>
      </c>
      <c r="B206" s="1078">
        <v>31795462</v>
      </c>
      <c r="C206" s="1075">
        <v>317954626</v>
      </c>
      <c r="D206" s="1075" t="s">
        <v>2164</v>
      </c>
      <c r="E206" s="1075" t="s">
        <v>2295</v>
      </c>
      <c r="F206" s="1075">
        <v>813301</v>
      </c>
      <c r="G206" s="1075" t="s">
        <v>2107</v>
      </c>
      <c r="H206" s="1075">
        <v>90534</v>
      </c>
      <c r="I206" s="1075">
        <v>1</v>
      </c>
      <c r="J206" s="1075">
        <v>0</v>
      </c>
      <c r="K206" s="1075">
        <v>0</v>
      </c>
      <c r="L206" s="1075">
        <v>0</v>
      </c>
      <c r="M206" s="1075" t="s">
        <v>3176</v>
      </c>
      <c r="N206" s="1075" t="s">
        <v>3178</v>
      </c>
      <c r="O206" s="1077">
        <f>P206/100</f>
        <v>0</v>
      </c>
      <c r="P206" s="1075">
        <v>0</v>
      </c>
      <c r="Q206" s="1074">
        <v>2036.73</v>
      </c>
      <c r="R206" s="1074">
        <v>310.5</v>
      </c>
      <c r="S206" s="1074">
        <v>53.68</v>
      </c>
      <c r="T206" s="1074">
        <v>1555.85</v>
      </c>
      <c r="U206" s="1074">
        <v>0</v>
      </c>
      <c r="V206" s="1074">
        <v>0</v>
      </c>
      <c r="W206" s="1074">
        <v>0</v>
      </c>
      <c r="X206" s="1074">
        <v>0</v>
      </c>
      <c r="Y206" s="1074">
        <v>77.45</v>
      </c>
      <c r="Z206" s="1074">
        <v>0</v>
      </c>
      <c r="AA206" s="1074">
        <v>1478.4</v>
      </c>
      <c r="AB206" s="1074">
        <v>116.7</v>
      </c>
      <c r="AC206" s="1074">
        <v>0</v>
      </c>
      <c r="AD206" s="1074">
        <v>0</v>
      </c>
      <c r="AE206" s="1074">
        <v>1813301</v>
      </c>
      <c r="AF206" s="1074" t="s">
        <v>251</v>
      </c>
      <c r="AG206" s="1095">
        <f>VLOOKUP(B206,עזר!A$2:B$329,2,FALSE)</f>
        <v>48834.740000000005</v>
      </c>
      <c r="AH206" s="1074">
        <f>Q206*3</f>
        <v>6110.1900000000005</v>
      </c>
      <c r="AI206" s="1074">
        <f>AH206+AG206</f>
        <v>54944.930000000008</v>
      </c>
      <c r="AJ206" s="1077">
        <f>VLOOKUP(B206,Sheet1!D$2:K$430,7,FALSE)</f>
        <v>0.23529411764705882</v>
      </c>
      <c r="AK206" s="1074">
        <f>VLOOKUP(B206,Sheet1!D$2:L$430,8,FALSE)</f>
        <v>57000</v>
      </c>
      <c r="AL206" s="1109">
        <f>O206</f>
        <v>0</v>
      </c>
      <c r="AM206" s="1074">
        <f>AI206*1.02</f>
        <v>56043.828600000008</v>
      </c>
      <c r="AN206" s="1085">
        <f t="shared" si="99"/>
        <v>0</v>
      </c>
      <c r="AO206" s="1074">
        <f t="shared" si="99"/>
        <v>56043.828600000008</v>
      </c>
      <c r="AP206" s="1080"/>
    </row>
    <row r="207" spans="1:42" outlineLevel="2" x14ac:dyDescent="0.2">
      <c r="A207" s="1075">
        <v>506</v>
      </c>
      <c r="B207" s="1078"/>
      <c r="D207" s="1075" t="s">
        <v>3205</v>
      </c>
      <c r="E207" s="1075" t="s">
        <v>3206</v>
      </c>
      <c r="F207" s="1075">
        <v>813301</v>
      </c>
      <c r="M207" s="1075" t="s">
        <v>3176</v>
      </c>
      <c r="N207" s="1075" t="s">
        <v>3178</v>
      </c>
      <c r="Q207" s="1074"/>
      <c r="R207" s="1074"/>
      <c r="S207" s="1074"/>
      <c r="T207" s="1074"/>
      <c r="U207" s="1074"/>
      <c r="V207" s="1074"/>
      <c r="W207" s="1074"/>
      <c r="X207" s="1074"/>
      <c r="Y207" s="1074"/>
      <c r="Z207" s="1074"/>
      <c r="AA207" s="1074"/>
      <c r="AB207" s="1074"/>
      <c r="AC207" s="1074"/>
      <c r="AD207" s="1074"/>
      <c r="AE207" s="1074"/>
      <c r="AF207" s="1074"/>
      <c r="AG207" s="1095"/>
      <c r="AH207" s="1074"/>
      <c r="AI207" s="1074"/>
      <c r="AK207" s="1074"/>
      <c r="AL207" s="1109">
        <v>0</v>
      </c>
      <c r="AM207" s="1074">
        <v>47000</v>
      </c>
      <c r="AP207" s="1080"/>
    </row>
    <row r="208" spans="1:42" outlineLevel="1" x14ac:dyDescent="0.2">
      <c r="B208" s="1078"/>
      <c r="F208" s="1088" t="s">
        <v>3109</v>
      </c>
      <c r="O208" s="1077">
        <f>SUBTOTAL(9,O204:O207)</f>
        <v>0</v>
      </c>
      <c r="Q208" s="1074">
        <f>SUBTOTAL(9,Q204:Q207)</f>
        <v>6706.119999999999</v>
      </c>
      <c r="R208" s="1074"/>
      <c r="S208" s="1074"/>
      <c r="T208" s="1074"/>
      <c r="U208" s="1074"/>
      <c r="V208" s="1074"/>
      <c r="W208" s="1074"/>
      <c r="X208" s="1074"/>
      <c r="Y208" s="1074"/>
      <c r="Z208" s="1074"/>
      <c r="AA208" s="1074"/>
      <c r="AB208" s="1074"/>
      <c r="AC208" s="1074"/>
      <c r="AD208" s="1074"/>
      <c r="AE208" s="1074"/>
      <c r="AF208" s="1074"/>
      <c r="AG208" s="1095">
        <f t="shared" ref="AG208:AM208" si="100">SUBTOTAL(9,AG204:AG207)</f>
        <v>119408.92</v>
      </c>
      <c r="AH208" s="1074">
        <f t="shared" si="100"/>
        <v>20118.36</v>
      </c>
      <c r="AI208" s="1074">
        <f t="shared" si="100"/>
        <v>139527.28000000003</v>
      </c>
      <c r="AJ208" s="1077">
        <f t="shared" si="100"/>
        <v>0.58823529411764708</v>
      </c>
      <c r="AK208" s="1074">
        <f t="shared" si="100"/>
        <v>101050</v>
      </c>
      <c r="AL208" s="1109">
        <f t="shared" si="100"/>
        <v>0</v>
      </c>
      <c r="AM208" s="1074">
        <f t="shared" si="100"/>
        <v>189317.82560000001</v>
      </c>
      <c r="AP208" s="1080">
        <f>SUBTOTAL(9,AP204:AP207)</f>
        <v>0</v>
      </c>
    </row>
    <row r="209" spans="1:42" outlineLevel="2" x14ac:dyDescent="0.2">
      <c r="A209" s="1075">
        <v>506</v>
      </c>
      <c r="B209" s="1078">
        <v>3590738</v>
      </c>
      <c r="C209" s="1075">
        <v>35907385</v>
      </c>
      <c r="D209" s="1075" t="s">
        <v>2131</v>
      </c>
      <c r="E209" s="1075" t="s">
        <v>2132</v>
      </c>
      <c r="F209" s="1075">
        <v>813310</v>
      </c>
      <c r="G209" s="1075" t="s">
        <v>2107</v>
      </c>
      <c r="H209" s="1075">
        <v>90534</v>
      </c>
      <c r="I209" s="1075">
        <v>1</v>
      </c>
      <c r="J209" s="1075">
        <v>0</v>
      </c>
      <c r="K209" s="1075">
        <v>0</v>
      </c>
      <c r="L209" s="1075">
        <v>0</v>
      </c>
      <c r="M209" s="1075" t="s">
        <v>1553</v>
      </c>
      <c r="N209" s="1075" t="s">
        <v>3179</v>
      </c>
      <c r="O209" s="1077">
        <f t="shared" ref="O209:O217" si="101">P209/100</f>
        <v>0</v>
      </c>
      <c r="P209" s="1075">
        <v>0</v>
      </c>
      <c r="Q209" s="1074">
        <v>1629.48</v>
      </c>
      <c r="R209" s="1074">
        <v>257.61</v>
      </c>
      <c r="S209" s="1074">
        <v>42.65</v>
      </c>
      <c r="T209" s="1074">
        <v>1236.5</v>
      </c>
      <c r="U209" s="1074">
        <v>0</v>
      </c>
      <c r="V209" s="1074">
        <v>0</v>
      </c>
      <c r="W209" s="1074">
        <v>0</v>
      </c>
      <c r="X209" s="1074">
        <v>0</v>
      </c>
      <c r="Y209" s="1074">
        <v>0</v>
      </c>
      <c r="Z209" s="1074">
        <v>0</v>
      </c>
      <c r="AA209" s="1074">
        <v>1236.5</v>
      </c>
      <c r="AB209" s="1074">
        <v>92.72</v>
      </c>
      <c r="AC209" s="1074">
        <v>0</v>
      </c>
      <c r="AD209" s="1074">
        <v>0</v>
      </c>
      <c r="AE209" s="1074">
        <v>1812507</v>
      </c>
      <c r="AF209" s="1074" t="s">
        <v>251</v>
      </c>
      <c r="AG209" s="1095">
        <v>0</v>
      </c>
      <c r="AH209" s="1074">
        <f t="shared" ref="AH209:AH219" si="102">Q209*3</f>
        <v>4888.4400000000005</v>
      </c>
      <c r="AI209" s="1074">
        <f t="shared" ref="AI209:AI219" si="103">AH209+AG209</f>
        <v>4888.4400000000005</v>
      </c>
      <c r="AJ209" s="1077">
        <f>VLOOKUP(B209,Sheet1!D$2:K$430,7,FALSE)</f>
        <v>0.94117647058823528</v>
      </c>
      <c r="AK209" s="1074">
        <f>VLOOKUP(B209,Sheet1!D$2:L$430,8,FALSE)</f>
        <v>65382</v>
      </c>
      <c r="AL209" s="1109">
        <f t="shared" ref="AL209:AL219" si="104">O209</f>
        <v>0</v>
      </c>
      <c r="AM209" s="1074">
        <f>AI209*1.02+52739</f>
        <v>57725.2088</v>
      </c>
      <c r="AN209" s="1085">
        <f t="shared" ref="AN209:AN219" si="105">AL209</f>
        <v>0</v>
      </c>
      <c r="AO209" s="1074">
        <f t="shared" ref="AO209:AO221" si="106">AM209</f>
        <v>57725.2088</v>
      </c>
      <c r="AP209" s="1080"/>
    </row>
    <row r="210" spans="1:42" outlineLevel="2" x14ac:dyDescent="0.2">
      <c r="A210" s="1075">
        <v>506</v>
      </c>
      <c r="B210" s="1078">
        <v>4093593</v>
      </c>
      <c r="C210" s="1075">
        <v>40935934</v>
      </c>
      <c r="D210" s="1075" t="s">
        <v>2129</v>
      </c>
      <c r="E210" s="1075" t="s">
        <v>1128</v>
      </c>
      <c r="F210" s="1075">
        <v>813310</v>
      </c>
      <c r="G210" s="1075" t="s">
        <v>2107</v>
      </c>
      <c r="H210" s="1075">
        <v>90534</v>
      </c>
      <c r="I210" s="1075">
        <v>1</v>
      </c>
      <c r="J210" s="1075">
        <v>0</v>
      </c>
      <c r="K210" s="1075">
        <v>0</v>
      </c>
      <c r="L210" s="1075">
        <v>0</v>
      </c>
      <c r="M210" s="1075" t="s">
        <v>1553</v>
      </c>
      <c r="N210" s="1075" t="s">
        <v>3179</v>
      </c>
      <c r="O210" s="1077">
        <f t="shared" si="101"/>
        <v>0</v>
      </c>
      <c r="P210" s="1075">
        <v>0</v>
      </c>
      <c r="Q210" s="1074">
        <v>1475.21</v>
      </c>
      <c r="R210" s="1074">
        <v>234.79</v>
      </c>
      <c r="S210" s="1074">
        <v>38.57</v>
      </c>
      <c r="T210" s="1074">
        <v>1118</v>
      </c>
      <c r="U210" s="1074">
        <v>0</v>
      </c>
      <c r="V210" s="1074">
        <v>0</v>
      </c>
      <c r="W210" s="1074">
        <v>0</v>
      </c>
      <c r="X210" s="1074">
        <v>0</v>
      </c>
      <c r="Y210" s="1074">
        <v>0</v>
      </c>
      <c r="Z210" s="1074">
        <v>0</v>
      </c>
      <c r="AA210" s="1074">
        <v>1118</v>
      </c>
      <c r="AB210" s="1074">
        <v>83.85</v>
      </c>
      <c r="AC210" s="1074">
        <v>0</v>
      </c>
      <c r="AD210" s="1074">
        <v>0</v>
      </c>
      <c r="AE210" s="1074">
        <v>1812507</v>
      </c>
      <c r="AF210" s="1074" t="s">
        <v>251</v>
      </c>
      <c r="AG210" s="1095">
        <f>VLOOKUP(B210,עזר!A$2:B$329,2,FALSE)</f>
        <v>38351.539999999994</v>
      </c>
      <c r="AH210" s="1074">
        <f t="shared" si="102"/>
        <v>4425.63</v>
      </c>
      <c r="AI210" s="1074">
        <f t="shared" si="103"/>
        <v>42777.169999999991</v>
      </c>
      <c r="AJ210" s="1077">
        <f>VLOOKUP(B210,Sheet1!D$2:K$430,7,FALSE)</f>
        <v>0</v>
      </c>
      <c r="AK210" s="1074">
        <f>VLOOKUP(B210,Sheet1!D$2:L$430,8,FALSE)</f>
        <v>26594</v>
      </c>
      <c r="AL210" s="1109">
        <f t="shared" si="104"/>
        <v>0</v>
      </c>
      <c r="AM210" s="1074">
        <f t="shared" ref="AM210:AM217" si="107">AI210*1.02</f>
        <v>43632.713399999993</v>
      </c>
      <c r="AN210" s="1085">
        <f t="shared" si="105"/>
        <v>0</v>
      </c>
      <c r="AO210" s="1074">
        <f t="shared" si="106"/>
        <v>43632.713399999993</v>
      </c>
      <c r="AP210" s="1080"/>
    </row>
    <row r="211" spans="1:42" outlineLevel="2" x14ac:dyDescent="0.2">
      <c r="A211" s="1075">
        <v>506</v>
      </c>
      <c r="B211" s="1078">
        <v>2318947</v>
      </c>
      <c r="C211" s="1075">
        <v>23189475</v>
      </c>
      <c r="D211" s="1075" t="s">
        <v>2180</v>
      </c>
      <c r="E211" s="1075" t="s">
        <v>2197</v>
      </c>
      <c r="F211" s="1075">
        <v>813310</v>
      </c>
      <c r="G211" s="1075" t="s">
        <v>2107</v>
      </c>
      <c r="H211" s="1075">
        <v>90534</v>
      </c>
      <c r="I211" s="1075">
        <v>0</v>
      </c>
      <c r="J211" s="1075">
        <v>5</v>
      </c>
      <c r="K211" s="1075">
        <v>37</v>
      </c>
      <c r="L211" s="1075">
        <v>0</v>
      </c>
      <c r="M211" s="1075" t="s">
        <v>1553</v>
      </c>
      <c r="N211" s="1075" t="s">
        <v>3179</v>
      </c>
      <c r="O211" s="1077">
        <f t="shared" si="101"/>
        <v>0.7</v>
      </c>
      <c r="P211" s="1075">
        <v>70</v>
      </c>
      <c r="Q211" s="1074">
        <v>5765.55</v>
      </c>
      <c r="R211" s="1074">
        <v>471.55</v>
      </c>
      <c r="S211" s="1074">
        <v>164.62</v>
      </c>
      <c r="T211" s="1074">
        <v>4771.53</v>
      </c>
      <c r="U211" s="1074">
        <v>0</v>
      </c>
      <c r="V211" s="1074">
        <v>0</v>
      </c>
      <c r="W211" s="1074">
        <v>0</v>
      </c>
      <c r="X211" s="1074">
        <v>0</v>
      </c>
      <c r="Y211" s="1074">
        <v>111.45</v>
      </c>
      <c r="Z211" s="1074">
        <v>0</v>
      </c>
      <c r="AA211" s="1074">
        <v>4660.08</v>
      </c>
      <c r="AB211" s="1074">
        <v>357.85</v>
      </c>
      <c r="AC211" s="1074">
        <v>0</v>
      </c>
      <c r="AD211" s="1074">
        <v>0</v>
      </c>
      <c r="AE211" s="1074">
        <v>1813310</v>
      </c>
      <c r="AF211" s="1074" t="s">
        <v>251</v>
      </c>
      <c r="AG211" s="1095">
        <f>VLOOKUP(B211,עזר!A$2:B$329,2,FALSE)</f>
        <v>58174.21</v>
      </c>
      <c r="AH211" s="1074">
        <f t="shared" si="102"/>
        <v>17296.650000000001</v>
      </c>
      <c r="AI211" s="1074">
        <f t="shared" si="103"/>
        <v>75470.86</v>
      </c>
      <c r="AJ211" s="1077">
        <f>VLOOKUP(B211,Sheet1!D$2:K$430,7,FALSE)</f>
        <v>0.6</v>
      </c>
      <c r="AK211" s="1074">
        <f>VLOOKUP(B211,Sheet1!D$2:L$430,8,FALSE)</f>
        <v>48000</v>
      </c>
      <c r="AL211" s="1109">
        <f t="shared" si="104"/>
        <v>0.7</v>
      </c>
      <c r="AM211" s="1074">
        <f t="shared" si="107"/>
        <v>76980.277199999997</v>
      </c>
      <c r="AN211" s="1085">
        <f t="shared" si="105"/>
        <v>0.7</v>
      </c>
      <c r="AO211" s="1074">
        <f t="shared" si="106"/>
        <v>76980.277199999997</v>
      </c>
      <c r="AP211" s="1080"/>
    </row>
    <row r="212" spans="1:42" outlineLevel="2" x14ac:dyDescent="0.2">
      <c r="A212" s="1075">
        <v>506</v>
      </c>
      <c r="B212" s="1078">
        <v>3336177</v>
      </c>
      <c r="C212" s="1075">
        <v>33361775</v>
      </c>
      <c r="D212" s="1075" t="s">
        <v>2198</v>
      </c>
      <c r="E212" s="1075" t="s">
        <v>2199</v>
      </c>
      <c r="F212" s="1075">
        <v>813310</v>
      </c>
      <c r="G212" s="1075" t="s">
        <v>2107</v>
      </c>
      <c r="H212" s="1075">
        <v>90534</v>
      </c>
      <c r="I212" s="1075">
        <v>1</v>
      </c>
      <c r="J212" s="1075">
        <v>0</v>
      </c>
      <c r="K212" s="1075">
        <v>0</v>
      </c>
      <c r="L212" s="1075">
        <v>0</v>
      </c>
      <c r="M212" s="1075" t="s">
        <v>1553</v>
      </c>
      <c r="N212" s="1075" t="s">
        <v>3179</v>
      </c>
      <c r="O212" s="1077">
        <f t="shared" si="101"/>
        <v>0</v>
      </c>
      <c r="P212" s="1075">
        <v>0</v>
      </c>
      <c r="Q212" s="1074">
        <v>2994.27</v>
      </c>
      <c r="R212" s="1074">
        <v>462.85</v>
      </c>
      <c r="S212" s="1074">
        <v>78.72</v>
      </c>
      <c r="T212" s="1074">
        <v>2281.6</v>
      </c>
      <c r="U212" s="1074">
        <v>0</v>
      </c>
      <c r="V212" s="1074">
        <v>0</v>
      </c>
      <c r="W212" s="1074">
        <v>0</v>
      </c>
      <c r="X212" s="1074">
        <v>0</v>
      </c>
      <c r="Y212" s="1074">
        <v>77.45</v>
      </c>
      <c r="Z212" s="1074">
        <v>0</v>
      </c>
      <c r="AA212" s="1074">
        <v>2204.15</v>
      </c>
      <c r="AB212" s="1074">
        <v>171.1</v>
      </c>
      <c r="AC212" s="1074">
        <v>0</v>
      </c>
      <c r="AD212" s="1074">
        <v>0</v>
      </c>
      <c r="AE212" s="1074">
        <v>1813310</v>
      </c>
      <c r="AF212" s="1074" t="s">
        <v>251</v>
      </c>
      <c r="AG212" s="1095">
        <f>VLOOKUP(B212,עזר!A$2:B$329,2,FALSE)</f>
        <v>49148.43</v>
      </c>
      <c r="AH212" s="1074">
        <f t="shared" si="102"/>
        <v>8982.81</v>
      </c>
      <c r="AI212" s="1074">
        <f t="shared" si="103"/>
        <v>58131.24</v>
      </c>
      <c r="AJ212" s="1077" t="str">
        <f>VLOOKUP(B212,Sheet1!D$2:K$430,7,FALSE)</f>
        <v>שעתי</v>
      </c>
      <c r="AK212" s="1074">
        <f>VLOOKUP(B212,Sheet1!D$2:L$430,8,FALSE)</f>
        <v>33000</v>
      </c>
      <c r="AL212" s="1109">
        <f t="shared" si="104"/>
        <v>0</v>
      </c>
      <c r="AM212" s="1074">
        <f t="shared" si="107"/>
        <v>59293.864799999996</v>
      </c>
      <c r="AN212" s="1085">
        <f t="shared" si="105"/>
        <v>0</v>
      </c>
      <c r="AO212" s="1074">
        <f t="shared" si="106"/>
        <v>59293.864799999996</v>
      </c>
      <c r="AP212" s="1080"/>
    </row>
    <row r="213" spans="1:42" outlineLevel="2" x14ac:dyDescent="0.2">
      <c r="A213" s="1075">
        <v>506</v>
      </c>
      <c r="B213" s="1078">
        <v>3480322</v>
      </c>
      <c r="C213" s="1075">
        <v>34803221</v>
      </c>
      <c r="D213" s="1075" t="s">
        <v>2200</v>
      </c>
      <c r="E213" s="1075" t="s">
        <v>2201</v>
      </c>
      <c r="F213" s="1075">
        <v>813310</v>
      </c>
      <c r="G213" s="1075" t="s">
        <v>2107</v>
      </c>
      <c r="H213" s="1075">
        <v>90534</v>
      </c>
      <c r="I213" s="1075">
        <v>1</v>
      </c>
      <c r="J213" s="1075">
        <v>0</v>
      </c>
      <c r="K213" s="1075">
        <v>0</v>
      </c>
      <c r="L213" s="1075">
        <v>0</v>
      </c>
      <c r="M213" s="1075" t="s">
        <v>1553</v>
      </c>
      <c r="N213" s="1075" t="s">
        <v>3179</v>
      </c>
      <c r="O213" s="1077">
        <f t="shared" si="101"/>
        <v>0</v>
      </c>
      <c r="P213" s="1075">
        <v>0</v>
      </c>
      <c r="Q213" s="1074">
        <v>3724.22</v>
      </c>
      <c r="R213" s="1074">
        <v>592.75</v>
      </c>
      <c r="S213" s="1074">
        <v>97.37</v>
      </c>
      <c r="T213" s="1074">
        <v>2822.4</v>
      </c>
      <c r="U213" s="1074">
        <v>0</v>
      </c>
      <c r="V213" s="1074">
        <v>0</v>
      </c>
      <c r="W213" s="1074">
        <v>0</v>
      </c>
      <c r="X213" s="1074">
        <v>0</v>
      </c>
      <c r="Y213" s="1074">
        <v>0</v>
      </c>
      <c r="Z213" s="1074">
        <v>0</v>
      </c>
      <c r="AA213" s="1074">
        <v>2822.4</v>
      </c>
      <c r="AB213" s="1074">
        <v>211.7</v>
      </c>
      <c r="AC213" s="1074">
        <v>0</v>
      </c>
      <c r="AD213" s="1074">
        <v>0</v>
      </c>
      <c r="AE213" s="1074">
        <v>1813310</v>
      </c>
      <c r="AF213" s="1074" t="s">
        <v>251</v>
      </c>
      <c r="AG213" s="1095">
        <f>VLOOKUP(B213,עזר!A$2:B$329,2,FALSE)</f>
        <v>61875.75</v>
      </c>
      <c r="AH213" s="1074">
        <f t="shared" si="102"/>
        <v>11172.66</v>
      </c>
      <c r="AI213" s="1074">
        <f t="shared" si="103"/>
        <v>73048.41</v>
      </c>
      <c r="AJ213" s="1077">
        <f>VLOOKUP(B213,Sheet1!D$2:K$430,7,FALSE)</f>
        <v>1</v>
      </c>
      <c r="AK213" s="1074">
        <f>VLOOKUP(B213,Sheet1!D$2:L$430,8,FALSE)</f>
        <v>71000</v>
      </c>
      <c r="AL213" s="1109">
        <f t="shared" si="104"/>
        <v>0</v>
      </c>
      <c r="AM213" s="1074">
        <f t="shared" si="107"/>
        <v>74509.378200000006</v>
      </c>
      <c r="AN213" s="1085">
        <f t="shared" si="105"/>
        <v>0</v>
      </c>
      <c r="AO213" s="1074">
        <f t="shared" si="106"/>
        <v>74509.378200000006</v>
      </c>
      <c r="AP213" s="1080"/>
    </row>
    <row r="214" spans="1:42" outlineLevel="2" x14ac:dyDescent="0.2">
      <c r="A214" s="1075">
        <v>506</v>
      </c>
      <c r="B214" s="1078">
        <v>3693519</v>
      </c>
      <c r="C214" s="1075">
        <v>36935195</v>
      </c>
      <c r="D214" s="1075" t="s">
        <v>1419</v>
      </c>
      <c r="E214" s="1075" t="s">
        <v>2202</v>
      </c>
      <c r="F214" s="1075">
        <v>813310</v>
      </c>
      <c r="G214" s="1075" t="s">
        <v>2107</v>
      </c>
      <c r="H214" s="1075">
        <v>90534</v>
      </c>
      <c r="I214" s="1075">
        <v>1</v>
      </c>
      <c r="J214" s="1075">
        <v>0</v>
      </c>
      <c r="K214" s="1075">
        <v>0</v>
      </c>
      <c r="L214" s="1075">
        <v>0</v>
      </c>
      <c r="M214" s="1075" t="s">
        <v>1553</v>
      </c>
      <c r="N214" s="1075" t="s">
        <v>3179</v>
      </c>
      <c r="O214" s="1077">
        <f t="shared" si="101"/>
        <v>0</v>
      </c>
      <c r="P214" s="1075">
        <v>0</v>
      </c>
      <c r="Q214" s="1074">
        <v>1691.64</v>
      </c>
      <c r="R214" s="1074">
        <v>174.15</v>
      </c>
      <c r="S214" s="1074">
        <v>47.19</v>
      </c>
      <c r="T214" s="1074">
        <v>1367.7</v>
      </c>
      <c r="U214" s="1074">
        <v>0</v>
      </c>
      <c r="V214" s="1074">
        <v>0</v>
      </c>
      <c r="W214" s="1074">
        <v>0</v>
      </c>
      <c r="X214" s="1074">
        <v>0</v>
      </c>
      <c r="Y214" s="1074">
        <v>77.45</v>
      </c>
      <c r="Z214" s="1074">
        <v>0</v>
      </c>
      <c r="AA214" s="1074">
        <v>1290.25</v>
      </c>
      <c r="AB214" s="1074">
        <v>102.6</v>
      </c>
      <c r="AC214" s="1074">
        <v>0</v>
      </c>
      <c r="AD214" s="1074">
        <v>0</v>
      </c>
      <c r="AE214" s="1074">
        <v>1813310</v>
      </c>
      <c r="AF214" s="1074" t="s">
        <v>251</v>
      </c>
      <c r="AG214" s="1095">
        <f>VLOOKUP(B214,עזר!A$2:B$329,2,FALSE)</f>
        <v>30699.86</v>
      </c>
      <c r="AH214" s="1074">
        <f t="shared" si="102"/>
        <v>5074.92</v>
      </c>
      <c r="AI214" s="1074">
        <f t="shared" si="103"/>
        <v>35774.78</v>
      </c>
      <c r="AJ214" s="1077">
        <f>VLOOKUP(B214,Sheet1!D$2:K$430,7,FALSE)</f>
        <v>0.38</v>
      </c>
      <c r="AK214" s="1074">
        <f>VLOOKUP(B214,Sheet1!D$2:L$430,8,FALSE)</f>
        <v>19000</v>
      </c>
      <c r="AL214" s="1109">
        <f t="shared" si="104"/>
        <v>0</v>
      </c>
      <c r="AM214" s="1074">
        <f t="shared" si="107"/>
        <v>36490.275600000001</v>
      </c>
      <c r="AN214" s="1085">
        <f t="shared" si="105"/>
        <v>0</v>
      </c>
      <c r="AO214" s="1074">
        <f t="shared" si="106"/>
        <v>36490.275600000001</v>
      </c>
      <c r="AP214" s="1080"/>
    </row>
    <row r="215" spans="1:42" outlineLevel="2" x14ac:dyDescent="0.2">
      <c r="A215" s="1075">
        <v>506</v>
      </c>
      <c r="B215" s="1078">
        <v>5944505</v>
      </c>
      <c r="C215" s="1075">
        <v>59445056</v>
      </c>
      <c r="D215" s="1075" t="s">
        <v>2198</v>
      </c>
      <c r="E215" s="1075" t="s">
        <v>2203</v>
      </c>
      <c r="F215" s="1075">
        <v>813310</v>
      </c>
      <c r="G215" s="1075" t="s">
        <v>2107</v>
      </c>
      <c r="H215" s="1075">
        <v>90534</v>
      </c>
      <c r="I215" s="1075">
        <v>0</v>
      </c>
      <c r="J215" s="1075">
        <v>5</v>
      </c>
      <c r="K215" s="1075">
        <v>37</v>
      </c>
      <c r="L215" s="1075">
        <v>0</v>
      </c>
      <c r="M215" s="1075" t="s">
        <v>1553</v>
      </c>
      <c r="N215" s="1075" t="s">
        <v>3179</v>
      </c>
      <c r="O215" s="1077">
        <f t="shared" si="101"/>
        <v>0.8</v>
      </c>
      <c r="P215" s="1075">
        <v>80</v>
      </c>
      <c r="Q215" s="1074">
        <v>6278.31</v>
      </c>
      <c r="R215" s="1074">
        <v>513.75</v>
      </c>
      <c r="S215" s="1074">
        <v>179.25</v>
      </c>
      <c r="T215" s="1074">
        <v>5195.66</v>
      </c>
      <c r="U215" s="1074">
        <v>0</v>
      </c>
      <c r="V215" s="1074">
        <v>0</v>
      </c>
      <c r="W215" s="1074">
        <v>0</v>
      </c>
      <c r="X215" s="1074">
        <v>0</v>
      </c>
      <c r="Y215" s="1074">
        <v>116.35</v>
      </c>
      <c r="Z215" s="1074">
        <v>0</v>
      </c>
      <c r="AA215" s="1074">
        <v>5079.3100000000004</v>
      </c>
      <c r="AB215" s="1074">
        <v>389.65</v>
      </c>
      <c r="AC215" s="1074">
        <v>0</v>
      </c>
      <c r="AD215" s="1074">
        <v>0</v>
      </c>
      <c r="AE215" s="1074">
        <v>1813310</v>
      </c>
      <c r="AF215" s="1074" t="s">
        <v>251</v>
      </c>
      <c r="AG215" s="1095">
        <f>VLOOKUP(B215,עזר!A$2:B$329,2,FALSE)</f>
        <v>65150.91</v>
      </c>
      <c r="AH215" s="1074">
        <f t="shared" si="102"/>
        <v>18834.93</v>
      </c>
      <c r="AI215" s="1074">
        <f t="shared" si="103"/>
        <v>83985.84</v>
      </c>
      <c r="AJ215" s="1077">
        <f>VLOOKUP(B215,Sheet1!D$2:K$430,7,FALSE)</f>
        <v>1</v>
      </c>
      <c r="AK215" s="1074">
        <f>VLOOKUP(B215,Sheet1!D$2:L$430,8,FALSE)</f>
        <v>80142</v>
      </c>
      <c r="AL215" s="1109">
        <f t="shared" si="104"/>
        <v>0.8</v>
      </c>
      <c r="AM215" s="1074">
        <f t="shared" si="107"/>
        <v>85665.556799999991</v>
      </c>
      <c r="AN215" s="1085">
        <f t="shared" si="105"/>
        <v>0.8</v>
      </c>
      <c r="AO215" s="1074">
        <f t="shared" si="106"/>
        <v>85665.556799999991</v>
      </c>
      <c r="AP215" s="1080"/>
    </row>
    <row r="216" spans="1:42" outlineLevel="2" x14ac:dyDescent="0.2">
      <c r="A216" s="1075">
        <v>506</v>
      </c>
      <c r="B216" s="1078">
        <v>30265944</v>
      </c>
      <c r="C216" s="1075">
        <v>302659446</v>
      </c>
      <c r="D216" s="1075" t="s">
        <v>2114</v>
      </c>
      <c r="E216" s="1075" t="s">
        <v>2153</v>
      </c>
      <c r="F216" s="1075">
        <v>813310</v>
      </c>
      <c r="G216" s="1075" t="s">
        <v>2107</v>
      </c>
      <c r="H216" s="1075">
        <v>90534</v>
      </c>
      <c r="I216" s="1075">
        <v>1</v>
      </c>
      <c r="J216" s="1075">
        <v>0</v>
      </c>
      <c r="K216" s="1075">
        <v>0</v>
      </c>
      <c r="L216" s="1075">
        <v>0</v>
      </c>
      <c r="M216" s="1075" t="s">
        <v>1553</v>
      </c>
      <c r="N216" s="1075" t="s">
        <v>3179</v>
      </c>
      <c r="O216" s="1077">
        <f t="shared" si="101"/>
        <v>0</v>
      </c>
      <c r="P216" s="1075">
        <v>0</v>
      </c>
      <c r="Q216" s="1074">
        <v>1005.89</v>
      </c>
      <c r="R216" s="1074">
        <v>99.8</v>
      </c>
      <c r="S216" s="1074">
        <v>28.18</v>
      </c>
      <c r="T216" s="1074">
        <v>816.65</v>
      </c>
      <c r="U216" s="1074">
        <v>0</v>
      </c>
      <c r="V216" s="1074">
        <v>0</v>
      </c>
      <c r="W216" s="1074">
        <v>0</v>
      </c>
      <c r="X216" s="1074">
        <v>0</v>
      </c>
      <c r="Y216" s="1074">
        <v>77.45</v>
      </c>
      <c r="Z216" s="1074">
        <v>0</v>
      </c>
      <c r="AA216" s="1074">
        <v>739.2</v>
      </c>
      <c r="AB216" s="1074">
        <v>61.26</v>
      </c>
      <c r="AC216" s="1074">
        <v>0</v>
      </c>
      <c r="AD216" s="1074">
        <v>0</v>
      </c>
      <c r="AE216" s="1074">
        <v>1813310</v>
      </c>
      <c r="AF216" s="1074" t="s">
        <v>251</v>
      </c>
      <c r="AG216" s="1095">
        <v>0</v>
      </c>
      <c r="AH216" s="1074">
        <f t="shared" si="102"/>
        <v>3017.67</v>
      </c>
      <c r="AI216" s="1074">
        <f t="shared" si="103"/>
        <v>3017.67</v>
      </c>
      <c r="AJ216" s="1077">
        <f>VLOOKUP(B216,Sheet1!D$2:K$430,7,FALSE)</f>
        <v>0</v>
      </c>
      <c r="AK216" s="1074">
        <f>VLOOKUP(B216,Sheet1!D$2:L$430,8,FALSE)</f>
        <v>0</v>
      </c>
      <c r="AL216" s="1109">
        <f t="shared" si="104"/>
        <v>0</v>
      </c>
      <c r="AM216" s="1074">
        <v>32000</v>
      </c>
      <c r="AN216" s="1085">
        <f t="shared" si="105"/>
        <v>0</v>
      </c>
      <c r="AO216" s="1074">
        <f t="shared" si="106"/>
        <v>32000</v>
      </c>
      <c r="AP216" s="1080"/>
    </row>
    <row r="217" spans="1:42" outlineLevel="2" x14ac:dyDescent="0.2">
      <c r="A217" s="1075">
        <v>506</v>
      </c>
      <c r="B217" s="1078">
        <v>30305535</v>
      </c>
      <c r="C217" s="1075">
        <v>303055354</v>
      </c>
      <c r="D217" s="1075" t="s">
        <v>2180</v>
      </c>
      <c r="E217" s="1075" t="s">
        <v>2204</v>
      </c>
      <c r="F217" s="1075">
        <v>813310</v>
      </c>
      <c r="G217" s="1075" t="s">
        <v>2107</v>
      </c>
      <c r="H217" s="1075">
        <v>90534</v>
      </c>
      <c r="I217" s="1075">
        <v>1</v>
      </c>
      <c r="J217" s="1075">
        <v>0</v>
      </c>
      <c r="K217" s="1075">
        <v>0</v>
      </c>
      <c r="L217" s="1075">
        <v>0</v>
      </c>
      <c r="M217" s="1075" t="s">
        <v>1553</v>
      </c>
      <c r="N217" s="1075" t="s">
        <v>3179</v>
      </c>
      <c r="O217" s="1077">
        <f t="shared" si="101"/>
        <v>0</v>
      </c>
      <c r="P217" s="1075">
        <v>0</v>
      </c>
      <c r="Q217" s="1074">
        <v>1870.83</v>
      </c>
      <c r="R217" s="1074">
        <v>195.95</v>
      </c>
      <c r="S217" s="1074">
        <v>52.08</v>
      </c>
      <c r="T217" s="1074">
        <v>1509.6</v>
      </c>
      <c r="U217" s="1074">
        <v>0</v>
      </c>
      <c r="V217" s="1074">
        <v>0</v>
      </c>
      <c r="W217" s="1074">
        <v>0</v>
      </c>
      <c r="X217" s="1074">
        <v>0</v>
      </c>
      <c r="Y217" s="1074">
        <v>58.1</v>
      </c>
      <c r="Z217" s="1074">
        <v>0</v>
      </c>
      <c r="AA217" s="1074">
        <v>1451.5</v>
      </c>
      <c r="AB217" s="1074">
        <v>113.2</v>
      </c>
      <c r="AC217" s="1074">
        <v>0</v>
      </c>
      <c r="AD217" s="1074">
        <v>0</v>
      </c>
      <c r="AE217" s="1074">
        <v>1813310</v>
      </c>
      <c r="AF217" s="1074" t="s">
        <v>251</v>
      </c>
      <c r="AG217" s="1095">
        <f>VLOOKUP(B217,עזר!A$2:B$329,2,FALSE)</f>
        <v>24992.440000000002</v>
      </c>
      <c r="AH217" s="1074">
        <f t="shared" si="102"/>
        <v>5612.49</v>
      </c>
      <c r="AI217" s="1074">
        <f t="shared" si="103"/>
        <v>30604.93</v>
      </c>
      <c r="AJ217" s="1077">
        <f>VLOOKUP(B217,Sheet1!D$2:K$430,7,FALSE)</f>
        <v>0.2</v>
      </c>
      <c r="AK217" s="1074">
        <f>VLOOKUP(B217,Sheet1!D$2:L$430,8,FALSE)</f>
        <v>35000</v>
      </c>
      <c r="AL217" s="1109">
        <f t="shared" si="104"/>
        <v>0</v>
      </c>
      <c r="AM217" s="1074">
        <f t="shared" si="107"/>
        <v>31217.028600000001</v>
      </c>
      <c r="AN217" s="1085">
        <f t="shared" si="105"/>
        <v>0</v>
      </c>
      <c r="AO217" s="1074">
        <f t="shared" si="106"/>
        <v>31217.028600000001</v>
      </c>
      <c r="AP217" s="1080"/>
    </row>
    <row r="218" spans="1:42" outlineLevel="2" x14ac:dyDescent="0.2">
      <c r="A218" s="1075">
        <v>506</v>
      </c>
      <c r="B218" s="1075">
        <v>31501922</v>
      </c>
      <c r="C218" s="1075">
        <v>315019224</v>
      </c>
      <c r="D218" s="1075" t="s">
        <v>2123</v>
      </c>
      <c r="E218" s="1075" t="s">
        <v>2400</v>
      </c>
      <c r="F218" s="1075">
        <v>813310</v>
      </c>
      <c r="G218" s="1075" t="s">
        <v>2384</v>
      </c>
      <c r="H218" s="1075">
        <v>90534</v>
      </c>
      <c r="I218" s="1075">
        <v>1</v>
      </c>
      <c r="J218" s="1075">
        <v>0</v>
      </c>
      <c r="K218" s="1075">
        <v>0</v>
      </c>
      <c r="L218" s="1075">
        <v>0</v>
      </c>
      <c r="M218" s="1075" t="s">
        <v>1553</v>
      </c>
      <c r="N218" s="1075" t="s">
        <v>3179</v>
      </c>
      <c r="O218" s="1077">
        <v>0</v>
      </c>
      <c r="Q218" s="1074">
        <v>0</v>
      </c>
      <c r="R218" s="1074"/>
      <c r="S218" s="1074"/>
      <c r="T218" s="1074"/>
      <c r="U218" s="1074"/>
      <c r="V218" s="1074"/>
      <c r="W218" s="1074"/>
      <c r="X218" s="1074"/>
      <c r="Y218" s="1074"/>
      <c r="Z218" s="1074"/>
      <c r="AA218" s="1074"/>
      <c r="AB218" s="1074"/>
      <c r="AC218" s="1074"/>
      <c r="AD218" s="1074"/>
      <c r="AE218" s="1074"/>
      <c r="AF218" s="1074"/>
      <c r="AG218" s="1095">
        <f>VLOOKUP(B218,עזר!A$2:B$329,2,FALSE)</f>
        <v>20556.98</v>
      </c>
      <c r="AH218" s="1074">
        <f t="shared" si="102"/>
        <v>0</v>
      </c>
      <c r="AI218" s="1074">
        <f t="shared" si="103"/>
        <v>20556.98</v>
      </c>
      <c r="AJ218" s="1077">
        <f>VLOOKUP(B218,Sheet1!D$2:K$430,7,FALSE)</f>
        <v>0</v>
      </c>
      <c r="AK218" s="1074">
        <f>VLOOKUP(B218,Sheet1!D$2:L$430,8,FALSE)</f>
        <v>12000</v>
      </c>
      <c r="AL218" s="1109">
        <f t="shared" si="104"/>
        <v>0</v>
      </c>
      <c r="AM218" s="1074">
        <v>32000</v>
      </c>
      <c r="AN218" s="1085">
        <f t="shared" si="105"/>
        <v>0</v>
      </c>
      <c r="AO218" s="1074">
        <f t="shared" si="106"/>
        <v>32000</v>
      </c>
      <c r="AP218" s="1080"/>
    </row>
    <row r="219" spans="1:42" outlineLevel="2" x14ac:dyDescent="0.2">
      <c r="A219" s="1075">
        <v>506</v>
      </c>
      <c r="B219" s="1078">
        <v>31795457</v>
      </c>
      <c r="C219" s="1075">
        <v>317954576</v>
      </c>
      <c r="D219" s="1075" t="s">
        <v>2159</v>
      </c>
      <c r="E219" s="1075" t="s">
        <v>2160</v>
      </c>
      <c r="F219" s="1075">
        <v>813310</v>
      </c>
      <c r="G219" s="1075" t="s">
        <v>2107</v>
      </c>
      <c r="H219" s="1075">
        <v>90534</v>
      </c>
      <c r="I219" s="1075">
        <v>1</v>
      </c>
      <c r="J219" s="1075">
        <v>0</v>
      </c>
      <c r="K219" s="1075">
        <v>0</v>
      </c>
      <c r="L219" s="1075">
        <v>0</v>
      </c>
      <c r="M219" s="1075" t="s">
        <v>1553</v>
      </c>
      <c r="N219" s="1075" t="s">
        <v>3179</v>
      </c>
      <c r="O219" s="1077">
        <f>P219/100</f>
        <v>0</v>
      </c>
      <c r="P219" s="1075">
        <v>0</v>
      </c>
      <c r="Q219" s="1074">
        <v>1488.22</v>
      </c>
      <c r="R219" s="1074">
        <v>220.11</v>
      </c>
      <c r="S219" s="1074">
        <v>39.44</v>
      </c>
      <c r="T219" s="1074">
        <v>1142.95</v>
      </c>
      <c r="U219" s="1074">
        <v>0</v>
      </c>
      <c r="V219" s="1074">
        <v>0</v>
      </c>
      <c r="W219" s="1074">
        <v>0</v>
      </c>
      <c r="X219" s="1074">
        <v>0</v>
      </c>
      <c r="Y219" s="1074">
        <v>94.65</v>
      </c>
      <c r="Z219" s="1074">
        <v>0</v>
      </c>
      <c r="AA219" s="1074">
        <v>1048.3</v>
      </c>
      <c r="AB219" s="1074">
        <v>85.72</v>
      </c>
      <c r="AC219" s="1074">
        <v>0</v>
      </c>
      <c r="AD219" s="1074">
        <v>0</v>
      </c>
      <c r="AE219" s="1074">
        <v>1813310</v>
      </c>
      <c r="AF219" s="1074" t="s">
        <v>251</v>
      </c>
      <c r="AG219" s="1095">
        <v>0</v>
      </c>
      <c r="AH219" s="1074">
        <f t="shared" si="102"/>
        <v>4464.66</v>
      </c>
      <c r="AI219" s="1074">
        <f t="shared" si="103"/>
        <v>4464.66</v>
      </c>
      <c r="AJ219" s="1077">
        <f>VLOOKUP(B219,Sheet1!D$2:K$430,7,FALSE)</f>
        <v>0</v>
      </c>
      <c r="AK219" s="1074">
        <f>VLOOKUP(B219,Sheet1!D$2:L$430,8,FALSE)</f>
        <v>33000</v>
      </c>
      <c r="AL219" s="1109">
        <f t="shared" si="104"/>
        <v>0</v>
      </c>
      <c r="AM219" s="1074">
        <v>32000</v>
      </c>
      <c r="AN219" s="1085">
        <f t="shared" si="105"/>
        <v>0</v>
      </c>
      <c r="AO219" s="1074">
        <f t="shared" si="106"/>
        <v>32000</v>
      </c>
      <c r="AP219" s="1080"/>
    </row>
    <row r="220" spans="1:42" outlineLevel="2" x14ac:dyDescent="0.2">
      <c r="A220" s="1075">
        <v>506</v>
      </c>
      <c r="B220" s="1078">
        <v>3600030</v>
      </c>
      <c r="C220" s="1075">
        <v>3600030</v>
      </c>
      <c r="D220" s="1075" t="s">
        <v>975</v>
      </c>
      <c r="E220" s="1075" t="s">
        <v>2166</v>
      </c>
      <c r="F220" s="1075">
        <v>813310</v>
      </c>
      <c r="M220" s="1075" t="s">
        <v>1553</v>
      </c>
      <c r="N220" s="1075" t="s">
        <v>3179</v>
      </c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1095"/>
      <c r="AH220" s="1074"/>
      <c r="AI220" s="1074"/>
      <c r="AK220" s="1074"/>
      <c r="AL220" s="1109">
        <v>0</v>
      </c>
      <c r="AM220" s="1074">
        <v>32000</v>
      </c>
      <c r="AO220" s="1074">
        <f t="shared" si="106"/>
        <v>32000</v>
      </c>
      <c r="AP220" s="1080"/>
    </row>
    <row r="221" spans="1:42" outlineLevel="2" x14ac:dyDescent="0.2">
      <c r="A221" s="1075">
        <v>506</v>
      </c>
      <c r="B221" s="1078"/>
      <c r="D221" s="1075" t="s">
        <v>2117</v>
      </c>
      <c r="E221" s="1075" t="s">
        <v>1491</v>
      </c>
      <c r="F221" s="1075">
        <v>813310</v>
      </c>
      <c r="M221" s="1075" t="s">
        <v>1553</v>
      </c>
      <c r="N221" s="1075" t="s">
        <v>3179</v>
      </c>
      <c r="Q221" s="1074"/>
      <c r="R221" s="1074"/>
      <c r="S221" s="1074"/>
      <c r="T221" s="1074"/>
      <c r="U221" s="1074"/>
      <c r="V221" s="1074"/>
      <c r="W221" s="1074"/>
      <c r="X221" s="1074"/>
      <c r="Y221" s="1074"/>
      <c r="Z221" s="1074"/>
      <c r="AA221" s="1074"/>
      <c r="AB221" s="1074"/>
      <c r="AC221" s="1074"/>
      <c r="AD221" s="1074"/>
      <c r="AE221" s="1074"/>
      <c r="AF221" s="1074"/>
      <c r="AG221" s="1095"/>
      <c r="AH221" s="1074"/>
      <c r="AI221" s="1074"/>
      <c r="AK221" s="1074"/>
      <c r="AL221" s="1109">
        <v>0</v>
      </c>
      <c r="AM221" s="1074">
        <v>32000</v>
      </c>
      <c r="AO221" s="1074">
        <f t="shared" si="106"/>
        <v>32000</v>
      </c>
      <c r="AP221" s="1080"/>
    </row>
    <row r="222" spans="1:42" outlineLevel="1" x14ac:dyDescent="0.2">
      <c r="B222" s="1078"/>
      <c r="F222" s="1088" t="s">
        <v>3110</v>
      </c>
      <c r="O222" s="1077">
        <f>SUBTOTAL(9,O209:O221)</f>
        <v>1.5</v>
      </c>
      <c r="Q222" s="1074">
        <f>SUBTOTAL(9,Q209:Q221)</f>
        <v>27923.620000000003</v>
      </c>
      <c r="R222" s="1074"/>
      <c r="S222" s="1074"/>
      <c r="T222" s="1074"/>
      <c r="U222" s="1074"/>
      <c r="V222" s="1074"/>
      <c r="W222" s="1074"/>
      <c r="X222" s="1074"/>
      <c r="Y222" s="1074"/>
      <c r="Z222" s="1074"/>
      <c r="AA222" s="1074"/>
      <c r="AB222" s="1074"/>
      <c r="AC222" s="1074"/>
      <c r="AD222" s="1074"/>
      <c r="AE222" s="1074"/>
      <c r="AF222" s="1074"/>
      <c r="AG222" s="1095">
        <f t="shared" ref="AG222:AM222" si="108">SUBTOTAL(9,AG209:AG221)</f>
        <v>348950.11999999994</v>
      </c>
      <c r="AH222" s="1074">
        <f t="shared" si="108"/>
        <v>83770.860000000015</v>
      </c>
      <c r="AI222" s="1074">
        <f t="shared" si="108"/>
        <v>432720.97999999992</v>
      </c>
      <c r="AJ222" s="1077">
        <f t="shared" si="108"/>
        <v>4.1211764705882352</v>
      </c>
      <c r="AK222" s="1074">
        <f t="shared" si="108"/>
        <v>423118</v>
      </c>
      <c r="AL222" s="1109">
        <f t="shared" si="108"/>
        <v>1.5</v>
      </c>
      <c r="AM222" s="1074">
        <f t="shared" si="108"/>
        <v>625514.30339999986</v>
      </c>
      <c r="AP222" s="1080">
        <f>SUBTOTAL(9,AP209:AP221)</f>
        <v>0</v>
      </c>
    </row>
    <row r="223" spans="1:42" outlineLevel="2" x14ac:dyDescent="0.2">
      <c r="A223" s="1075">
        <v>506</v>
      </c>
      <c r="B223" s="1078">
        <v>31795457</v>
      </c>
      <c r="C223" s="1075">
        <v>317954576</v>
      </c>
      <c r="D223" s="1075" t="s">
        <v>2159</v>
      </c>
      <c r="E223" s="1075" t="s">
        <v>2160</v>
      </c>
      <c r="F223" s="1075">
        <v>813320</v>
      </c>
      <c r="G223" s="1075" t="s">
        <v>2107</v>
      </c>
      <c r="H223" s="1075">
        <v>90534</v>
      </c>
      <c r="I223" s="1075">
        <v>1</v>
      </c>
      <c r="J223" s="1075">
        <v>0</v>
      </c>
      <c r="K223" s="1075">
        <v>0</v>
      </c>
      <c r="L223" s="1075">
        <v>0</v>
      </c>
      <c r="M223" s="1075" t="s">
        <v>3176</v>
      </c>
      <c r="N223" s="1075" t="s">
        <v>3180</v>
      </c>
      <c r="O223" s="1077">
        <f>P223/100</f>
        <v>0</v>
      </c>
      <c r="P223" s="1075">
        <v>0</v>
      </c>
      <c r="Q223" s="1074">
        <v>425.59</v>
      </c>
      <c r="R223" s="1074">
        <v>67.739999999999995</v>
      </c>
      <c r="S223" s="1074">
        <v>11.12</v>
      </c>
      <c r="T223" s="1074">
        <v>322.55</v>
      </c>
      <c r="U223" s="1074">
        <v>0</v>
      </c>
      <c r="V223" s="1074">
        <v>0</v>
      </c>
      <c r="W223" s="1074">
        <v>0</v>
      </c>
      <c r="X223" s="1074">
        <v>0</v>
      </c>
      <c r="Y223" s="1074">
        <v>0</v>
      </c>
      <c r="Z223" s="1074">
        <v>0</v>
      </c>
      <c r="AA223" s="1074">
        <v>322.55</v>
      </c>
      <c r="AB223" s="1074">
        <v>24.18</v>
      </c>
      <c r="AC223" s="1074">
        <v>0</v>
      </c>
      <c r="AD223" s="1074">
        <v>0</v>
      </c>
      <c r="AE223" s="1074">
        <v>1812508</v>
      </c>
      <c r="AF223" s="1074" t="s">
        <v>251</v>
      </c>
      <c r="AG223" s="1095">
        <f>VLOOKUP(B223,עזר!A$2:B$329,2,FALSE)</f>
        <v>29485.57</v>
      </c>
      <c r="AH223" s="1074">
        <f t="shared" ref="AH223:AH237" si="109">Q223*3</f>
        <v>1276.77</v>
      </c>
      <c r="AI223" s="1074">
        <f t="shared" ref="AI223:AI237" si="110">AH223+AG223</f>
        <v>30762.34</v>
      </c>
      <c r="AJ223" s="1077">
        <f>VLOOKUP(B223,Sheet1!D$2:K$430,7,FALSE)</f>
        <v>0</v>
      </c>
      <c r="AK223" s="1074">
        <f>VLOOKUP(B223,Sheet1!D$2:L$430,8,FALSE)</f>
        <v>33000</v>
      </c>
      <c r="AL223" s="1109">
        <f t="shared" ref="AL223:AL237" si="111">O223</f>
        <v>0</v>
      </c>
      <c r="AM223" s="1074">
        <f t="shared" ref="AM223:AM233" si="112">AI223*1.02</f>
        <v>31377.586800000001</v>
      </c>
      <c r="AN223" s="1085">
        <f t="shared" ref="AN223:AN237" si="113">AL223</f>
        <v>0</v>
      </c>
      <c r="AO223" s="1074">
        <f t="shared" ref="AO223:AO237" si="114">AM223</f>
        <v>31377.586800000001</v>
      </c>
      <c r="AP223" s="1080"/>
    </row>
    <row r="224" spans="1:42" outlineLevel="2" x14ac:dyDescent="0.2">
      <c r="A224" s="1075">
        <v>506</v>
      </c>
      <c r="B224" s="1075">
        <v>2824628</v>
      </c>
      <c r="C224" s="1075">
        <v>28246288</v>
      </c>
      <c r="D224" s="1075" t="s">
        <v>2275</v>
      </c>
      <c r="E224" s="1075" t="s">
        <v>2319</v>
      </c>
      <c r="F224" s="1075">
        <v>813320</v>
      </c>
      <c r="G224" s="1075" t="s">
        <v>2384</v>
      </c>
      <c r="H224" s="1075">
        <v>90534</v>
      </c>
      <c r="I224" s="1075">
        <v>1</v>
      </c>
      <c r="J224" s="1075">
        <v>0</v>
      </c>
      <c r="K224" s="1075">
        <v>0</v>
      </c>
      <c r="L224" s="1075">
        <v>0</v>
      </c>
      <c r="M224" s="1075" t="s">
        <v>3176</v>
      </c>
      <c r="N224" s="1075" t="s">
        <v>3180</v>
      </c>
      <c r="O224" s="1077">
        <v>0</v>
      </c>
      <c r="Q224" s="1074">
        <v>0</v>
      </c>
      <c r="R224" s="1074"/>
      <c r="S224" s="1074"/>
      <c r="T224" s="1074"/>
      <c r="U224" s="1074"/>
      <c r="V224" s="1074"/>
      <c r="W224" s="1074"/>
      <c r="X224" s="1074"/>
      <c r="Y224" s="1074"/>
      <c r="Z224" s="1074"/>
      <c r="AA224" s="1074"/>
      <c r="AB224" s="1074"/>
      <c r="AC224" s="1074"/>
      <c r="AD224" s="1074"/>
      <c r="AE224" s="1074"/>
      <c r="AF224" s="1074"/>
      <c r="AG224" s="1095">
        <f>VLOOKUP(B224,עזר!A$2:B$329,2,FALSE)</f>
        <v>1789.52</v>
      </c>
      <c r="AH224" s="1074">
        <f t="shared" si="109"/>
        <v>0</v>
      </c>
      <c r="AI224" s="1074">
        <f t="shared" si="110"/>
        <v>1789.52</v>
      </c>
      <c r="AJ224" s="1077">
        <v>0</v>
      </c>
      <c r="AK224" s="1074">
        <v>0</v>
      </c>
      <c r="AL224" s="1109">
        <f t="shared" si="111"/>
        <v>0</v>
      </c>
      <c r="AM224" s="1074">
        <v>0</v>
      </c>
      <c r="AN224" s="1085">
        <f t="shared" si="113"/>
        <v>0</v>
      </c>
      <c r="AO224" s="1074">
        <f t="shared" si="114"/>
        <v>0</v>
      </c>
      <c r="AP224" s="1080"/>
    </row>
    <row r="225" spans="1:42" outlineLevel="2" x14ac:dyDescent="0.2">
      <c r="A225" s="1075">
        <v>506</v>
      </c>
      <c r="B225" s="1078">
        <v>3336229</v>
      </c>
      <c r="C225" s="1075">
        <v>33362294</v>
      </c>
      <c r="D225" s="1075" t="s">
        <v>2205</v>
      </c>
      <c r="E225" s="1075" t="s">
        <v>2206</v>
      </c>
      <c r="F225" s="1075">
        <v>813320</v>
      </c>
      <c r="G225" s="1075" t="s">
        <v>2107</v>
      </c>
      <c r="H225" s="1075">
        <v>90534</v>
      </c>
      <c r="I225" s="1075">
        <v>1</v>
      </c>
      <c r="J225" s="1075">
        <v>0</v>
      </c>
      <c r="K225" s="1075">
        <v>0</v>
      </c>
      <c r="L225" s="1075">
        <v>0</v>
      </c>
      <c r="M225" s="1075" t="s">
        <v>3176</v>
      </c>
      <c r="N225" s="1075" t="s">
        <v>3180</v>
      </c>
      <c r="O225" s="1077">
        <f t="shared" ref="O225:O233" si="115">P225/100</f>
        <v>0</v>
      </c>
      <c r="P225" s="1075">
        <v>0</v>
      </c>
      <c r="Q225" s="1074">
        <v>4068.68</v>
      </c>
      <c r="R225" s="1074">
        <v>391.95</v>
      </c>
      <c r="S225" s="1074">
        <v>114.33</v>
      </c>
      <c r="T225" s="1074">
        <v>3313.85</v>
      </c>
      <c r="U225" s="1074">
        <v>0</v>
      </c>
      <c r="V225" s="1074">
        <v>0</v>
      </c>
      <c r="W225" s="1074">
        <v>0</v>
      </c>
      <c r="X225" s="1074">
        <v>0</v>
      </c>
      <c r="Y225" s="1074">
        <v>410.8</v>
      </c>
      <c r="Z225" s="1074">
        <v>0</v>
      </c>
      <c r="AA225" s="1074">
        <v>2903.05</v>
      </c>
      <c r="AB225" s="1074">
        <v>248.55</v>
      </c>
      <c r="AC225" s="1074">
        <v>0</v>
      </c>
      <c r="AD225" s="1074">
        <v>0</v>
      </c>
      <c r="AE225" s="1074">
        <v>1813320</v>
      </c>
      <c r="AF225" s="1074" t="s">
        <v>251</v>
      </c>
      <c r="AG225" s="1095">
        <f>VLOOKUP(B225,עזר!A$2:B$329,2,FALSE)</f>
        <v>52236.23</v>
      </c>
      <c r="AH225" s="1074">
        <f t="shared" si="109"/>
        <v>12206.039999999999</v>
      </c>
      <c r="AI225" s="1074">
        <f t="shared" si="110"/>
        <v>64442.270000000004</v>
      </c>
      <c r="AJ225" s="1077">
        <f>VLOOKUP(B225,Sheet1!D$2:K$430,7,FALSE)</f>
        <v>0</v>
      </c>
      <c r="AK225" s="1074">
        <f>VLOOKUP(B225,Sheet1!D$2:L$430,8,FALSE)</f>
        <v>0</v>
      </c>
      <c r="AL225" s="1109">
        <f t="shared" si="111"/>
        <v>0</v>
      </c>
      <c r="AM225" s="1074">
        <f t="shared" si="112"/>
        <v>65731.11540000001</v>
      </c>
      <c r="AN225" s="1085">
        <f t="shared" si="113"/>
        <v>0</v>
      </c>
      <c r="AO225" s="1074">
        <f t="shared" si="114"/>
        <v>65731.11540000001</v>
      </c>
      <c r="AP225" s="1080"/>
    </row>
    <row r="226" spans="1:42" outlineLevel="2" x14ac:dyDescent="0.2">
      <c r="A226" s="1075">
        <v>506</v>
      </c>
      <c r="B226" s="1078">
        <v>3408409</v>
      </c>
      <c r="C226" s="1075">
        <v>34084095</v>
      </c>
      <c r="D226" s="1075" t="s">
        <v>2119</v>
      </c>
      <c r="E226" s="1075" t="s">
        <v>2130</v>
      </c>
      <c r="F226" s="1075">
        <v>813320</v>
      </c>
      <c r="G226" s="1075" t="s">
        <v>2107</v>
      </c>
      <c r="H226" s="1075">
        <v>90534</v>
      </c>
      <c r="I226" s="1075">
        <v>1</v>
      </c>
      <c r="J226" s="1075">
        <v>0</v>
      </c>
      <c r="K226" s="1075">
        <v>0</v>
      </c>
      <c r="L226" s="1075">
        <v>0</v>
      </c>
      <c r="M226" s="1075" t="s">
        <v>3176</v>
      </c>
      <c r="N226" s="1075" t="s">
        <v>3180</v>
      </c>
      <c r="O226" s="1077">
        <f t="shared" si="115"/>
        <v>0</v>
      </c>
      <c r="P226" s="1075">
        <v>0</v>
      </c>
      <c r="Q226" s="1074">
        <v>2651.4</v>
      </c>
      <c r="R226" s="1074">
        <v>392.3</v>
      </c>
      <c r="S226" s="1074">
        <v>70.25</v>
      </c>
      <c r="T226" s="1074">
        <v>2036.15</v>
      </c>
      <c r="U226" s="1074">
        <v>0</v>
      </c>
      <c r="V226" s="1074">
        <v>0</v>
      </c>
      <c r="W226" s="1074">
        <v>0</v>
      </c>
      <c r="X226" s="1074">
        <v>0</v>
      </c>
      <c r="Y226" s="1074">
        <v>168</v>
      </c>
      <c r="Z226" s="1074">
        <v>0</v>
      </c>
      <c r="AA226" s="1074">
        <v>1868.15</v>
      </c>
      <c r="AB226" s="1074">
        <v>152.69999999999999</v>
      </c>
      <c r="AC226" s="1074">
        <v>0</v>
      </c>
      <c r="AD226" s="1074">
        <v>0</v>
      </c>
      <c r="AE226" s="1074">
        <v>1813320</v>
      </c>
      <c r="AF226" s="1074" t="s">
        <v>251</v>
      </c>
      <c r="AG226" s="1095">
        <f>VLOOKUP(B226,עזר!A$2:B$329,2,FALSE)</f>
        <v>43925.279999999999</v>
      </c>
      <c r="AH226" s="1074">
        <f t="shared" si="109"/>
        <v>7954.2000000000007</v>
      </c>
      <c r="AI226" s="1074">
        <f t="shared" si="110"/>
        <v>51879.479999999996</v>
      </c>
      <c r="AJ226" s="1077">
        <f>VLOOKUP(B226,Sheet1!D$2:K$430,7,FALSE)</f>
        <v>1</v>
      </c>
      <c r="AK226" s="1074">
        <f>VLOOKUP(B226,Sheet1!D$2:L$430,8,FALSE)</f>
        <v>54000</v>
      </c>
      <c r="AL226" s="1109">
        <f t="shared" si="111"/>
        <v>0</v>
      </c>
      <c r="AM226" s="1074">
        <f t="shared" si="112"/>
        <v>52917.069599999995</v>
      </c>
      <c r="AN226" s="1085">
        <f t="shared" si="113"/>
        <v>0</v>
      </c>
      <c r="AO226" s="1074">
        <f t="shared" si="114"/>
        <v>52917.069599999995</v>
      </c>
      <c r="AP226" s="1080"/>
    </row>
    <row r="227" spans="1:42" outlineLevel="2" x14ac:dyDescent="0.2">
      <c r="A227" s="1075">
        <v>506</v>
      </c>
      <c r="B227" s="1078">
        <v>3584536</v>
      </c>
      <c r="C227" s="1075">
        <v>35845361</v>
      </c>
      <c r="D227" s="1075" t="s">
        <v>1419</v>
      </c>
      <c r="E227" s="1075" t="s">
        <v>2153</v>
      </c>
      <c r="F227" s="1075">
        <v>813320</v>
      </c>
      <c r="G227" s="1075" t="s">
        <v>2107</v>
      </c>
      <c r="H227" s="1075">
        <v>90534</v>
      </c>
      <c r="I227" s="1075">
        <v>1</v>
      </c>
      <c r="J227" s="1075">
        <v>0</v>
      </c>
      <c r="K227" s="1075">
        <v>0</v>
      </c>
      <c r="L227" s="1075">
        <v>0</v>
      </c>
      <c r="M227" s="1075" t="s">
        <v>3176</v>
      </c>
      <c r="N227" s="1075" t="s">
        <v>3180</v>
      </c>
      <c r="O227" s="1077">
        <f t="shared" si="115"/>
        <v>0</v>
      </c>
      <c r="P227" s="1075">
        <v>0</v>
      </c>
      <c r="Q227" s="1074">
        <v>3807.79</v>
      </c>
      <c r="R227" s="1074">
        <v>384.65</v>
      </c>
      <c r="S227" s="1074">
        <v>106.44</v>
      </c>
      <c r="T227" s="1074">
        <v>3085.3</v>
      </c>
      <c r="U227" s="1074">
        <v>0</v>
      </c>
      <c r="V227" s="1074">
        <v>0</v>
      </c>
      <c r="W227" s="1074">
        <v>0</v>
      </c>
      <c r="X227" s="1074">
        <v>0</v>
      </c>
      <c r="Y227" s="1074">
        <v>236</v>
      </c>
      <c r="Z227" s="1074">
        <v>0</v>
      </c>
      <c r="AA227" s="1074">
        <v>2849.3</v>
      </c>
      <c r="AB227" s="1074">
        <v>231.4</v>
      </c>
      <c r="AC227" s="1074">
        <v>0</v>
      </c>
      <c r="AD227" s="1074">
        <v>0</v>
      </c>
      <c r="AE227" s="1074">
        <v>1813320</v>
      </c>
      <c r="AF227" s="1074" t="s">
        <v>251</v>
      </c>
      <c r="AG227" s="1095">
        <f>VLOOKUP(B227,עזר!A$2:B$329,2,FALSE)</f>
        <v>60672.32</v>
      </c>
      <c r="AH227" s="1074">
        <f t="shared" si="109"/>
        <v>11423.369999999999</v>
      </c>
      <c r="AI227" s="1074">
        <f t="shared" si="110"/>
        <v>72095.69</v>
      </c>
      <c r="AJ227" s="1077">
        <f>VLOOKUP(B227,Sheet1!D$2:K$430,7,FALSE)</f>
        <v>0.94</v>
      </c>
      <c r="AK227" s="1074">
        <f>VLOOKUP(B227,Sheet1!D$2:L$430,8,FALSE)</f>
        <v>77000</v>
      </c>
      <c r="AL227" s="1109">
        <f t="shared" si="111"/>
        <v>0</v>
      </c>
      <c r="AM227" s="1074">
        <f t="shared" si="112"/>
        <v>73537.603799999997</v>
      </c>
      <c r="AN227" s="1085">
        <f t="shared" si="113"/>
        <v>0</v>
      </c>
      <c r="AO227" s="1074">
        <f t="shared" si="114"/>
        <v>73537.603799999997</v>
      </c>
      <c r="AP227" s="1080"/>
    </row>
    <row r="228" spans="1:42" outlineLevel="2" x14ac:dyDescent="0.2">
      <c r="A228" s="1075">
        <v>506</v>
      </c>
      <c r="B228" s="1078">
        <v>3907613</v>
      </c>
      <c r="C228" s="1075">
        <v>39076138</v>
      </c>
      <c r="D228" s="1075" t="s">
        <v>2207</v>
      </c>
      <c r="E228" s="1075" t="s">
        <v>2204</v>
      </c>
      <c r="F228" s="1075">
        <v>813320</v>
      </c>
      <c r="G228" s="1075" t="s">
        <v>2107</v>
      </c>
      <c r="H228" s="1075">
        <v>90534</v>
      </c>
      <c r="I228" s="1075">
        <v>1</v>
      </c>
      <c r="J228" s="1075">
        <v>0</v>
      </c>
      <c r="K228" s="1075">
        <v>0</v>
      </c>
      <c r="L228" s="1075">
        <v>0</v>
      </c>
      <c r="M228" s="1075" t="s">
        <v>3176</v>
      </c>
      <c r="N228" s="1075" t="s">
        <v>3180</v>
      </c>
      <c r="O228" s="1077">
        <f t="shared" si="115"/>
        <v>0</v>
      </c>
      <c r="P228" s="1075">
        <v>0</v>
      </c>
      <c r="Q228" s="1074">
        <v>3331.8</v>
      </c>
      <c r="R228" s="1074">
        <v>508.05</v>
      </c>
      <c r="S228" s="1074">
        <v>87.8</v>
      </c>
      <c r="T228" s="1074">
        <v>2545.0500000000002</v>
      </c>
      <c r="U228" s="1074">
        <v>0</v>
      </c>
      <c r="V228" s="1074">
        <v>0</v>
      </c>
      <c r="W228" s="1074">
        <v>0</v>
      </c>
      <c r="X228" s="1074">
        <v>0</v>
      </c>
      <c r="Y228" s="1074">
        <v>125.85</v>
      </c>
      <c r="Z228" s="1074">
        <v>0</v>
      </c>
      <c r="AA228" s="1074">
        <v>2419.1999999999998</v>
      </c>
      <c r="AB228" s="1074">
        <v>190.9</v>
      </c>
      <c r="AC228" s="1074">
        <v>0</v>
      </c>
      <c r="AD228" s="1074">
        <v>0</v>
      </c>
      <c r="AE228" s="1074">
        <v>1813320</v>
      </c>
      <c r="AF228" s="1074" t="s">
        <v>251</v>
      </c>
      <c r="AG228" s="1095">
        <f>VLOOKUP(B228,עזר!A$2:B$329,2,FALSE)</f>
        <v>32404.34</v>
      </c>
      <c r="AH228" s="1074">
        <f t="shared" si="109"/>
        <v>9995.4000000000015</v>
      </c>
      <c r="AI228" s="1074">
        <f t="shared" si="110"/>
        <v>42399.740000000005</v>
      </c>
      <c r="AJ228" s="1077">
        <f>VLOOKUP(B228,Sheet1!D$2:K$430,7,FALSE)</f>
        <v>0</v>
      </c>
      <c r="AK228" s="1074">
        <f>VLOOKUP(B228,Sheet1!D$2:L$430,8,FALSE)</f>
        <v>45000</v>
      </c>
      <c r="AL228" s="1109">
        <f t="shared" si="111"/>
        <v>0</v>
      </c>
      <c r="AM228" s="1074">
        <v>0</v>
      </c>
      <c r="AN228" s="1085">
        <f t="shared" si="113"/>
        <v>0</v>
      </c>
      <c r="AO228" s="1074">
        <f t="shared" si="114"/>
        <v>0</v>
      </c>
      <c r="AP228" s="1080"/>
    </row>
    <row r="229" spans="1:42" outlineLevel="2" x14ac:dyDescent="0.2">
      <c r="A229" s="1075">
        <v>506</v>
      </c>
      <c r="B229" s="1078">
        <v>6287104</v>
      </c>
      <c r="C229" s="1075">
        <v>62871041</v>
      </c>
      <c r="D229" s="1075" t="s">
        <v>2208</v>
      </c>
      <c r="E229" s="1075" t="s">
        <v>2209</v>
      </c>
      <c r="F229" s="1075">
        <v>813320</v>
      </c>
      <c r="G229" s="1075" t="s">
        <v>2107</v>
      </c>
      <c r="H229" s="1075">
        <v>90534</v>
      </c>
      <c r="I229" s="1075">
        <v>1</v>
      </c>
      <c r="J229" s="1075">
        <v>0</v>
      </c>
      <c r="K229" s="1075">
        <v>0</v>
      </c>
      <c r="L229" s="1075">
        <v>0</v>
      </c>
      <c r="M229" s="1075" t="s">
        <v>3176</v>
      </c>
      <c r="N229" s="1075" t="s">
        <v>3180</v>
      </c>
      <c r="O229" s="1077">
        <f t="shared" si="115"/>
        <v>0</v>
      </c>
      <c r="P229" s="1075">
        <v>0</v>
      </c>
      <c r="Q229" s="1074">
        <v>2945.14</v>
      </c>
      <c r="R229" s="1074">
        <v>252.2</v>
      </c>
      <c r="S229" s="1074">
        <v>83.74</v>
      </c>
      <c r="T229" s="1074">
        <v>2427.15</v>
      </c>
      <c r="U229" s="1074">
        <v>0</v>
      </c>
      <c r="V229" s="1074">
        <v>0</v>
      </c>
      <c r="W229" s="1074">
        <v>0</v>
      </c>
      <c r="X229" s="1074">
        <v>0</v>
      </c>
      <c r="Y229" s="1074">
        <v>559</v>
      </c>
      <c r="Z229" s="1074">
        <v>0</v>
      </c>
      <c r="AA229" s="1074">
        <v>1868.15</v>
      </c>
      <c r="AB229" s="1074">
        <v>182.05</v>
      </c>
      <c r="AC229" s="1074">
        <v>0</v>
      </c>
      <c r="AD229" s="1074">
        <v>0</v>
      </c>
      <c r="AE229" s="1074">
        <v>1813320</v>
      </c>
      <c r="AF229" s="1074" t="s">
        <v>251</v>
      </c>
      <c r="AG229" s="1095">
        <f>VLOOKUP(B229,עזר!A$2:B$329,2,FALSE)</f>
        <v>46998.16</v>
      </c>
      <c r="AH229" s="1074">
        <f t="shared" si="109"/>
        <v>8835.42</v>
      </c>
      <c r="AI229" s="1074">
        <f t="shared" si="110"/>
        <v>55833.58</v>
      </c>
      <c r="AJ229" s="1077">
        <f>VLOOKUP(B229,Sheet1!D$2:K$430,7,FALSE)</f>
        <v>1</v>
      </c>
      <c r="AK229" s="1074">
        <f>VLOOKUP(B229,Sheet1!D$2:L$430,8,FALSE)</f>
        <v>30000</v>
      </c>
      <c r="AL229" s="1109">
        <f t="shared" si="111"/>
        <v>0</v>
      </c>
      <c r="AM229" s="1074">
        <f t="shared" si="112"/>
        <v>56950.251600000003</v>
      </c>
      <c r="AN229" s="1085">
        <f t="shared" si="113"/>
        <v>0</v>
      </c>
      <c r="AO229" s="1074">
        <f t="shared" si="114"/>
        <v>56950.251600000003</v>
      </c>
      <c r="AP229" s="1080"/>
    </row>
    <row r="230" spans="1:42" outlineLevel="2" x14ac:dyDescent="0.2">
      <c r="A230" s="1075">
        <v>506</v>
      </c>
      <c r="B230" s="1078">
        <v>6574078</v>
      </c>
      <c r="C230" s="1075">
        <v>65740789</v>
      </c>
      <c r="D230" s="1075" t="s">
        <v>932</v>
      </c>
      <c r="E230" s="1075" t="s">
        <v>2210</v>
      </c>
      <c r="F230" s="1075">
        <v>813320</v>
      </c>
      <c r="G230" s="1075" t="s">
        <v>2107</v>
      </c>
      <c r="H230" s="1075">
        <v>90534</v>
      </c>
      <c r="I230" s="1075">
        <v>1</v>
      </c>
      <c r="J230" s="1075">
        <v>0</v>
      </c>
      <c r="K230" s="1075">
        <v>0</v>
      </c>
      <c r="L230" s="1075">
        <v>0</v>
      </c>
      <c r="M230" s="1075" t="s">
        <v>3176</v>
      </c>
      <c r="N230" s="1075" t="s">
        <v>3180</v>
      </c>
      <c r="O230" s="1077">
        <f t="shared" si="115"/>
        <v>0</v>
      </c>
      <c r="P230" s="1075">
        <v>0</v>
      </c>
      <c r="Q230" s="1074">
        <v>4051.01</v>
      </c>
      <c r="R230" s="1074">
        <v>632.25</v>
      </c>
      <c r="S230" s="1074">
        <v>106.31</v>
      </c>
      <c r="T230" s="1074">
        <v>3081.35</v>
      </c>
      <c r="U230" s="1074">
        <v>0</v>
      </c>
      <c r="V230" s="1074">
        <v>0</v>
      </c>
      <c r="W230" s="1074">
        <v>0</v>
      </c>
      <c r="X230" s="1074">
        <v>0</v>
      </c>
      <c r="Y230" s="1074">
        <v>70.8</v>
      </c>
      <c r="Z230" s="1074">
        <v>0</v>
      </c>
      <c r="AA230" s="1074">
        <v>3010.55</v>
      </c>
      <c r="AB230" s="1074">
        <v>231.1</v>
      </c>
      <c r="AC230" s="1074">
        <v>0</v>
      </c>
      <c r="AD230" s="1074">
        <v>0</v>
      </c>
      <c r="AE230" s="1074">
        <v>1813320</v>
      </c>
      <c r="AF230" s="1074" t="s">
        <v>251</v>
      </c>
      <c r="AG230" s="1095">
        <f>VLOOKUP(B230,עזר!A$2:B$329,2,FALSE)</f>
        <v>61083.31</v>
      </c>
      <c r="AH230" s="1074">
        <f t="shared" si="109"/>
        <v>12153.03</v>
      </c>
      <c r="AI230" s="1074">
        <f t="shared" si="110"/>
        <v>73236.34</v>
      </c>
      <c r="AJ230" s="1077">
        <f>VLOOKUP(B230,Sheet1!D$2:K$430,7,FALSE)</f>
        <v>0.94117647058823528</v>
      </c>
      <c r="AK230" s="1074">
        <f>VLOOKUP(B230,Sheet1!D$2:L$430,8,FALSE)</f>
        <v>74000</v>
      </c>
      <c r="AL230" s="1109">
        <f t="shared" si="111"/>
        <v>0</v>
      </c>
      <c r="AM230" s="1074">
        <f t="shared" si="112"/>
        <v>74701.066800000001</v>
      </c>
      <c r="AN230" s="1085">
        <f t="shared" si="113"/>
        <v>0</v>
      </c>
      <c r="AO230" s="1074">
        <f t="shared" si="114"/>
        <v>74701.066800000001</v>
      </c>
      <c r="AP230" s="1080"/>
    </row>
    <row r="231" spans="1:42" outlineLevel="2" x14ac:dyDescent="0.2">
      <c r="A231" s="1075">
        <v>506</v>
      </c>
      <c r="B231" s="1078">
        <v>6614401</v>
      </c>
      <c r="C231" s="1075">
        <v>66144015</v>
      </c>
      <c r="D231" s="1075" t="s">
        <v>1329</v>
      </c>
      <c r="E231" s="1075" t="s">
        <v>2211</v>
      </c>
      <c r="F231" s="1075">
        <v>813320</v>
      </c>
      <c r="G231" s="1075" t="s">
        <v>2107</v>
      </c>
      <c r="H231" s="1075">
        <v>90534</v>
      </c>
      <c r="I231" s="1075">
        <v>1</v>
      </c>
      <c r="J231" s="1075">
        <v>0</v>
      </c>
      <c r="K231" s="1075">
        <v>0</v>
      </c>
      <c r="L231" s="1075">
        <v>0</v>
      </c>
      <c r="M231" s="1075" t="s">
        <v>3176</v>
      </c>
      <c r="N231" s="1075" t="s">
        <v>3180</v>
      </c>
      <c r="O231" s="1077">
        <f t="shared" si="115"/>
        <v>0</v>
      </c>
      <c r="P231" s="1075">
        <v>0</v>
      </c>
      <c r="Q231" s="1074">
        <v>3440.67</v>
      </c>
      <c r="R231" s="1074">
        <v>359.25</v>
      </c>
      <c r="S231" s="1074">
        <v>95.82</v>
      </c>
      <c r="T231" s="1074">
        <v>2777.3</v>
      </c>
      <c r="U231" s="1074">
        <v>0</v>
      </c>
      <c r="V231" s="1074">
        <v>0</v>
      </c>
      <c r="W231" s="1074">
        <v>0</v>
      </c>
      <c r="X231" s="1074">
        <v>0</v>
      </c>
      <c r="Y231" s="1074">
        <v>116.2</v>
      </c>
      <c r="Z231" s="1074">
        <v>0</v>
      </c>
      <c r="AA231" s="1074">
        <v>2661.1</v>
      </c>
      <c r="AB231" s="1074">
        <v>208.3</v>
      </c>
      <c r="AC231" s="1074">
        <v>0</v>
      </c>
      <c r="AD231" s="1074">
        <v>0</v>
      </c>
      <c r="AE231" s="1074">
        <v>1813320</v>
      </c>
      <c r="AF231" s="1074" t="s">
        <v>251</v>
      </c>
      <c r="AG231" s="1095">
        <f>VLOOKUP(B231,עזר!A$2:B$329,2,FALSE)</f>
        <v>3440.67</v>
      </c>
      <c r="AH231" s="1074">
        <f t="shared" si="109"/>
        <v>10322.01</v>
      </c>
      <c r="AI231" s="1074">
        <f t="shared" si="110"/>
        <v>13762.68</v>
      </c>
      <c r="AJ231" s="1077">
        <v>0</v>
      </c>
      <c r="AK231" s="1074">
        <v>0</v>
      </c>
      <c r="AL231" s="1109">
        <f t="shared" si="111"/>
        <v>0</v>
      </c>
      <c r="AM231" s="1074">
        <f>3411*12</f>
        <v>40932</v>
      </c>
      <c r="AN231" s="1085">
        <f t="shared" si="113"/>
        <v>0</v>
      </c>
      <c r="AO231" s="1074">
        <f t="shared" si="114"/>
        <v>40932</v>
      </c>
      <c r="AP231" s="1080"/>
    </row>
    <row r="232" spans="1:42" outlineLevel="2" x14ac:dyDescent="0.2">
      <c r="A232" s="1075">
        <v>506</v>
      </c>
      <c r="B232" s="1078">
        <v>6614470</v>
      </c>
      <c r="C232" s="1075">
        <v>66144700</v>
      </c>
      <c r="D232" s="1075" t="s">
        <v>2212</v>
      </c>
      <c r="E232" s="1075" t="s">
        <v>2213</v>
      </c>
      <c r="F232" s="1075">
        <v>813320</v>
      </c>
      <c r="G232" s="1075" t="s">
        <v>2107</v>
      </c>
      <c r="H232" s="1075">
        <v>90534</v>
      </c>
      <c r="I232" s="1075">
        <v>1</v>
      </c>
      <c r="J232" s="1075">
        <v>0</v>
      </c>
      <c r="K232" s="1075">
        <v>0</v>
      </c>
      <c r="L232" s="1075">
        <v>0</v>
      </c>
      <c r="M232" s="1075" t="s">
        <v>3176</v>
      </c>
      <c r="N232" s="1075" t="s">
        <v>3180</v>
      </c>
      <c r="O232" s="1077">
        <f t="shared" si="115"/>
        <v>0</v>
      </c>
      <c r="P232" s="1075">
        <v>0</v>
      </c>
      <c r="Q232" s="1074">
        <v>2858.02</v>
      </c>
      <c r="R232" s="1074">
        <v>283.05</v>
      </c>
      <c r="S232" s="1074">
        <v>80.069999999999993</v>
      </c>
      <c r="T232" s="1074">
        <v>2320.85</v>
      </c>
      <c r="U232" s="1074">
        <v>0</v>
      </c>
      <c r="V232" s="1074">
        <v>0</v>
      </c>
      <c r="W232" s="1074">
        <v>0</v>
      </c>
      <c r="X232" s="1074">
        <v>0</v>
      </c>
      <c r="Y232" s="1074">
        <v>224.2</v>
      </c>
      <c r="Z232" s="1074">
        <v>0</v>
      </c>
      <c r="AA232" s="1074">
        <v>2096.65</v>
      </c>
      <c r="AB232" s="1074">
        <v>174.05</v>
      </c>
      <c r="AC232" s="1074">
        <v>0</v>
      </c>
      <c r="AD232" s="1074">
        <v>0</v>
      </c>
      <c r="AE232" s="1074">
        <v>1813320</v>
      </c>
      <c r="AF232" s="1074" t="s">
        <v>251</v>
      </c>
      <c r="AG232" s="1095">
        <f>VLOOKUP(B232,עזר!A$2:B$329,2,FALSE)</f>
        <v>39827.370000000003</v>
      </c>
      <c r="AH232" s="1074">
        <f t="shared" si="109"/>
        <v>8574.06</v>
      </c>
      <c r="AI232" s="1074">
        <f t="shared" si="110"/>
        <v>48401.43</v>
      </c>
      <c r="AJ232" s="1077">
        <f>VLOOKUP(B232,Sheet1!D$2:K$430,7,FALSE)</f>
        <v>1</v>
      </c>
      <c r="AK232" s="1074">
        <f>VLOOKUP(B232,Sheet1!D$2:L$430,8,FALSE)</f>
        <v>17500</v>
      </c>
      <c r="AL232" s="1109">
        <f t="shared" si="111"/>
        <v>0</v>
      </c>
      <c r="AM232" s="1074">
        <f t="shared" si="112"/>
        <v>49369.458599999998</v>
      </c>
      <c r="AN232" s="1085">
        <f t="shared" si="113"/>
        <v>0</v>
      </c>
      <c r="AO232" s="1074">
        <f t="shared" si="114"/>
        <v>49369.458599999998</v>
      </c>
      <c r="AP232" s="1080"/>
    </row>
    <row r="233" spans="1:42" outlineLevel="2" x14ac:dyDescent="0.2">
      <c r="A233" s="1075">
        <v>506</v>
      </c>
      <c r="B233" s="1078">
        <v>20363723</v>
      </c>
      <c r="C233" s="1075">
        <v>203637236</v>
      </c>
      <c r="D233" s="1075" t="s">
        <v>1329</v>
      </c>
      <c r="E233" s="1075" t="s">
        <v>2214</v>
      </c>
      <c r="F233" s="1075">
        <v>813320</v>
      </c>
      <c r="G233" s="1075" t="s">
        <v>2107</v>
      </c>
      <c r="H233" s="1075">
        <v>90534</v>
      </c>
      <c r="I233" s="1075">
        <v>1</v>
      </c>
      <c r="J233" s="1075">
        <v>0</v>
      </c>
      <c r="K233" s="1075">
        <v>0</v>
      </c>
      <c r="L233" s="1075">
        <v>0</v>
      </c>
      <c r="M233" s="1075" t="s">
        <v>3176</v>
      </c>
      <c r="N233" s="1075" t="s">
        <v>3180</v>
      </c>
      <c r="O233" s="1077">
        <f t="shared" si="115"/>
        <v>0</v>
      </c>
      <c r="P233" s="1075">
        <v>0</v>
      </c>
      <c r="Q233" s="1074">
        <v>3335.03</v>
      </c>
      <c r="R233" s="1074">
        <v>344.7</v>
      </c>
      <c r="S233" s="1074">
        <v>92.98</v>
      </c>
      <c r="T233" s="1074">
        <v>2695.2</v>
      </c>
      <c r="U233" s="1074">
        <v>0</v>
      </c>
      <c r="V233" s="1074">
        <v>0</v>
      </c>
      <c r="W233" s="1074">
        <v>0</v>
      </c>
      <c r="X233" s="1074">
        <v>0</v>
      </c>
      <c r="Y233" s="1074">
        <v>141.6</v>
      </c>
      <c r="Z233" s="1074">
        <v>0</v>
      </c>
      <c r="AA233" s="1074">
        <v>2553.6</v>
      </c>
      <c r="AB233" s="1074">
        <v>202.15</v>
      </c>
      <c r="AC233" s="1074">
        <v>0</v>
      </c>
      <c r="AD233" s="1074">
        <v>0</v>
      </c>
      <c r="AE233" s="1074">
        <v>1813320</v>
      </c>
      <c r="AF233" s="1074" t="s">
        <v>251</v>
      </c>
      <c r="AG233" s="1095">
        <f>VLOOKUP(B233,עזר!A$2:B$329,2,FALSE)</f>
        <v>43684.12</v>
      </c>
      <c r="AH233" s="1074">
        <f t="shared" si="109"/>
        <v>10005.09</v>
      </c>
      <c r="AI233" s="1074">
        <f t="shared" si="110"/>
        <v>53689.210000000006</v>
      </c>
      <c r="AJ233" s="1077">
        <f>VLOOKUP(B233,Sheet1!D$2:K$430,7,FALSE)</f>
        <v>0</v>
      </c>
      <c r="AK233" s="1074">
        <f>VLOOKUP(B233,Sheet1!D$2:L$430,8,FALSE)</f>
        <v>16700</v>
      </c>
      <c r="AL233" s="1109">
        <f t="shared" si="111"/>
        <v>0</v>
      </c>
      <c r="AM233" s="1074">
        <f t="shared" si="112"/>
        <v>54762.994200000008</v>
      </c>
      <c r="AN233" s="1085">
        <f t="shared" si="113"/>
        <v>0</v>
      </c>
      <c r="AO233" s="1074">
        <f t="shared" si="114"/>
        <v>54762.994200000008</v>
      </c>
      <c r="AP233" s="1080"/>
    </row>
    <row r="234" spans="1:42" outlineLevel="2" x14ac:dyDescent="0.2">
      <c r="A234" s="1075">
        <v>506</v>
      </c>
      <c r="B234" s="1075">
        <v>30993796</v>
      </c>
      <c r="C234" s="1075">
        <v>309937969</v>
      </c>
      <c r="D234" s="1075" t="s">
        <v>2401</v>
      </c>
      <c r="E234" s="1075" t="s">
        <v>2402</v>
      </c>
      <c r="F234" s="1075">
        <v>813320</v>
      </c>
      <c r="G234" s="1075" t="s">
        <v>2384</v>
      </c>
      <c r="H234" s="1075">
        <v>90534</v>
      </c>
      <c r="I234" s="1075">
        <v>1</v>
      </c>
      <c r="J234" s="1075">
        <v>0</v>
      </c>
      <c r="K234" s="1075">
        <v>0</v>
      </c>
      <c r="L234" s="1075">
        <v>0</v>
      </c>
      <c r="M234" s="1075" t="s">
        <v>3176</v>
      </c>
      <c r="N234" s="1075" t="s">
        <v>3180</v>
      </c>
      <c r="O234" s="1077">
        <v>0</v>
      </c>
      <c r="Q234" s="1074">
        <v>0</v>
      </c>
      <c r="R234" s="1074"/>
      <c r="S234" s="1074"/>
      <c r="T234" s="1074"/>
      <c r="U234" s="1074"/>
      <c r="V234" s="1074"/>
      <c r="W234" s="1074"/>
      <c r="X234" s="1074"/>
      <c r="Y234" s="1074"/>
      <c r="Z234" s="1074"/>
      <c r="AA234" s="1074"/>
      <c r="AB234" s="1074"/>
      <c r="AC234" s="1074"/>
      <c r="AD234" s="1074"/>
      <c r="AE234" s="1074"/>
      <c r="AF234" s="1074"/>
      <c r="AG234" s="1095">
        <f>VLOOKUP(B234,עזר!A$2:B$329,2,FALSE)</f>
        <v>2314.84</v>
      </c>
      <c r="AH234" s="1074">
        <f t="shared" si="109"/>
        <v>0</v>
      </c>
      <c r="AI234" s="1074">
        <f t="shared" si="110"/>
        <v>2314.84</v>
      </c>
      <c r="AJ234" s="1077">
        <f>VLOOKUP(B234,Sheet1!D$2:K$430,7,FALSE)</f>
        <v>0</v>
      </c>
      <c r="AK234" s="1074">
        <f>VLOOKUP(B234,Sheet1!D$2:L$430,8,FALSE)</f>
        <v>10000</v>
      </c>
      <c r="AL234" s="1109">
        <f t="shared" si="111"/>
        <v>0</v>
      </c>
      <c r="AM234" s="1074">
        <v>0</v>
      </c>
      <c r="AN234" s="1085">
        <f t="shared" si="113"/>
        <v>0</v>
      </c>
      <c r="AO234" s="1074">
        <f t="shared" si="114"/>
        <v>0</v>
      </c>
      <c r="AP234" s="1080"/>
    </row>
    <row r="235" spans="1:42" outlineLevel="2" x14ac:dyDescent="0.2">
      <c r="A235" s="1075">
        <v>506</v>
      </c>
      <c r="B235" s="1078">
        <v>32163602</v>
      </c>
      <c r="C235" s="1075">
        <v>321636029</v>
      </c>
      <c r="D235" s="1075" t="s">
        <v>1374</v>
      </c>
      <c r="E235" s="1075" t="s">
        <v>2215</v>
      </c>
      <c r="F235" s="1075">
        <v>813320</v>
      </c>
      <c r="G235" s="1075" t="s">
        <v>2107</v>
      </c>
      <c r="H235" s="1075">
        <v>90534</v>
      </c>
      <c r="I235" s="1075">
        <v>1</v>
      </c>
      <c r="J235" s="1075">
        <v>0</v>
      </c>
      <c r="K235" s="1075">
        <v>0</v>
      </c>
      <c r="L235" s="1075">
        <v>0</v>
      </c>
      <c r="M235" s="1075" t="s">
        <v>3176</v>
      </c>
      <c r="N235" s="1075" t="s">
        <v>3180</v>
      </c>
      <c r="O235" s="1077">
        <f>P235/100</f>
        <v>0</v>
      </c>
      <c r="P235" s="1075">
        <v>0</v>
      </c>
      <c r="Q235" s="1074">
        <v>2090.7600000000002</v>
      </c>
      <c r="R235" s="1074">
        <v>226.8</v>
      </c>
      <c r="S235" s="1074">
        <v>57.96</v>
      </c>
      <c r="T235" s="1074">
        <v>1680</v>
      </c>
      <c r="U235" s="1074">
        <v>0</v>
      </c>
      <c r="V235" s="1074">
        <v>0</v>
      </c>
      <c r="W235" s="1074">
        <v>0</v>
      </c>
      <c r="X235" s="1074">
        <v>0</v>
      </c>
      <c r="Y235" s="1074">
        <v>0</v>
      </c>
      <c r="Z235" s="1074">
        <v>0</v>
      </c>
      <c r="AA235" s="1074">
        <v>1680</v>
      </c>
      <c r="AB235" s="1074">
        <v>126</v>
      </c>
      <c r="AC235" s="1074">
        <v>0</v>
      </c>
      <c r="AD235" s="1074">
        <v>0</v>
      </c>
      <c r="AE235" s="1074">
        <v>1813320</v>
      </c>
      <c r="AF235" s="1074" t="s">
        <v>251</v>
      </c>
      <c r="AG235" s="1095">
        <f>VLOOKUP(B235,עזר!A$2:B$329,2,FALSE)</f>
        <v>35261.01</v>
      </c>
      <c r="AH235" s="1074">
        <f t="shared" si="109"/>
        <v>6272.2800000000007</v>
      </c>
      <c r="AI235" s="1074">
        <f t="shared" si="110"/>
        <v>41533.29</v>
      </c>
      <c r="AJ235" s="1077">
        <f>VLOOKUP(B235,Sheet1!D$2:K$430,7,FALSE)</f>
        <v>0.70588235294117652</v>
      </c>
      <c r="AK235" s="1074">
        <f>VLOOKUP(B235,Sheet1!D$2:L$430,8,FALSE)</f>
        <v>45000</v>
      </c>
      <c r="AL235" s="1109">
        <f t="shared" si="111"/>
        <v>0</v>
      </c>
      <c r="AM235" s="1074">
        <f>AI235*1.02</f>
        <v>42363.955800000003</v>
      </c>
      <c r="AN235" s="1085">
        <f t="shared" si="113"/>
        <v>0</v>
      </c>
      <c r="AO235" s="1074">
        <f t="shared" si="114"/>
        <v>42363.955800000003</v>
      </c>
      <c r="AP235" s="1080"/>
    </row>
    <row r="236" spans="1:42" outlineLevel="2" x14ac:dyDescent="0.2">
      <c r="A236" s="1075">
        <v>506</v>
      </c>
      <c r="B236" s="1078">
        <v>32169137</v>
      </c>
      <c r="C236" s="1075">
        <v>321691370</v>
      </c>
      <c r="D236" s="1075" t="s">
        <v>2164</v>
      </c>
      <c r="E236" s="1075" t="s">
        <v>2199</v>
      </c>
      <c r="F236" s="1075">
        <v>813320</v>
      </c>
      <c r="G236" s="1075" t="s">
        <v>2107</v>
      </c>
      <c r="H236" s="1075">
        <v>90534</v>
      </c>
      <c r="I236" s="1075">
        <v>1</v>
      </c>
      <c r="J236" s="1075">
        <v>0</v>
      </c>
      <c r="K236" s="1075">
        <v>0</v>
      </c>
      <c r="L236" s="1075">
        <v>0</v>
      </c>
      <c r="M236" s="1075" t="s">
        <v>3176</v>
      </c>
      <c r="N236" s="1075" t="s">
        <v>3180</v>
      </c>
      <c r="O236" s="1077">
        <f>P236/100</f>
        <v>0</v>
      </c>
      <c r="P236" s="1075">
        <v>0</v>
      </c>
      <c r="Q236" s="1074">
        <v>3159.75</v>
      </c>
      <c r="R236" s="1074">
        <v>315.7</v>
      </c>
      <c r="S236" s="1074">
        <v>98.25</v>
      </c>
      <c r="T236" s="1074">
        <v>2532.1999999999998</v>
      </c>
      <c r="U236" s="1074">
        <v>0</v>
      </c>
      <c r="V236" s="1074">
        <v>0</v>
      </c>
      <c r="W236" s="1074">
        <v>0</v>
      </c>
      <c r="X236" s="1074">
        <v>0</v>
      </c>
      <c r="Y236" s="1074">
        <v>193.65</v>
      </c>
      <c r="Z236" s="1074">
        <v>0</v>
      </c>
      <c r="AA236" s="1074">
        <v>2338.5500000000002</v>
      </c>
      <c r="AB236" s="1074">
        <v>213.6</v>
      </c>
      <c r="AC236" s="1074">
        <v>0</v>
      </c>
      <c r="AD236" s="1074">
        <v>0</v>
      </c>
      <c r="AE236" s="1074">
        <v>1813320</v>
      </c>
      <c r="AF236" s="1074" t="s">
        <v>251</v>
      </c>
      <c r="AG236" s="1095">
        <f>VLOOKUP(B236,עזר!A$2:B$329,2,FALSE)</f>
        <v>3159.75</v>
      </c>
      <c r="AH236" s="1074">
        <f t="shared" si="109"/>
        <v>9479.25</v>
      </c>
      <c r="AI236" s="1074">
        <f t="shared" si="110"/>
        <v>12639</v>
      </c>
      <c r="AJ236" s="1077">
        <v>0</v>
      </c>
      <c r="AK236" s="1074">
        <v>0</v>
      </c>
      <c r="AL236" s="1109">
        <f t="shared" si="111"/>
        <v>0</v>
      </c>
      <c r="AM236" s="1074">
        <f>3160*12</f>
        <v>37920</v>
      </c>
      <c r="AN236" s="1085">
        <f t="shared" si="113"/>
        <v>0</v>
      </c>
      <c r="AO236" s="1074">
        <f t="shared" si="114"/>
        <v>37920</v>
      </c>
      <c r="AP236" s="1080"/>
    </row>
    <row r="237" spans="1:42" outlineLevel="2" x14ac:dyDescent="0.2">
      <c r="A237" s="1075">
        <v>506</v>
      </c>
      <c r="B237" s="1078">
        <v>32371500</v>
      </c>
      <c r="C237" s="1075">
        <v>323715003</v>
      </c>
      <c r="D237" s="1075" t="s">
        <v>2216</v>
      </c>
      <c r="E237" s="1075" t="s">
        <v>2217</v>
      </c>
      <c r="F237" s="1075">
        <v>813320</v>
      </c>
      <c r="G237" s="1075" t="s">
        <v>2107</v>
      </c>
      <c r="H237" s="1075">
        <v>90534</v>
      </c>
      <c r="I237" s="1075">
        <v>1</v>
      </c>
      <c r="J237" s="1075">
        <v>0</v>
      </c>
      <c r="K237" s="1075">
        <v>0</v>
      </c>
      <c r="L237" s="1075">
        <v>0</v>
      </c>
      <c r="M237" s="1075" t="s">
        <v>3176</v>
      </c>
      <c r="N237" s="1075" t="s">
        <v>3180</v>
      </c>
      <c r="O237" s="1077">
        <f>P237/100</f>
        <v>0</v>
      </c>
      <c r="P237" s="1075">
        <v>0</v>
      </c>
      <c r="Q237" s="1074">
        <v>1369.07</v>
      </c>
      <c r="R237" s="1074">
        <v>141.5</v>
      </c>
      <c r="S237" s="1074">
        <v>38.17</v>
      </c>
      <c r="T237" s="1074">
        <v>1106.4000000000001</v>
      </c>
      <c r="U237" s="1074">
        <v>0</v>
      </c>
      <c r="V237" s="1074">
        <v>0</v>
      </c>
      <c r="W237" s="1074">
        <v>0</v>
      </c>
      <c r="X237" s="1074">
        <v>0</v>
      </c>
      <c r="Y237" s="1074">
        <v>58.1</v>
      </c>
      <c r="Z237" s="1074">
        <v>0</v>
      </c>
      <c r="AA237" s="1074">
        <v>1048.3</v>
      </c>
      <c r="AB237" s="1074">
        <v>83</v>
      </c>
      <c r="AC237" s="1074">
        <v>0</v>
      </c>
      <c r="AD237" s="1074">
        <v>0</v>
      </c>
      <c r="AE237" s="1074">
        <v>1813320</v>
      </c>
      <c r="AF237" s="1074" t="s">
        <v>251</v>
      </c>
      <c r="AG237" s="1095">
        <f>VLOOKUP(B237,עזר!A$2:B$329,2,FALSE)</f>
        <v>3060.96</v>
      </c>
      <c r="AH237" s="1074">
        <f t="shared" si="109"/>
        <v>4107.21</v>
      </c>
      <c r="AI237" s="1074">
        <f t="shared" si="110"/>
        <v>7168.17</v>
      </c>
      <c r="AJ237" s="1077">
        <f>VLOOKUP(B237,Sheet1!D$2:K$430,7,FALSE)</f>
        <v>0</v>
      </c>
      <c r="AK237" s="1074">
        <f>VLOOKUP(B237,Sheet1!D$2:L$430,8,FALSE)</f>
        <v>40500</v>
      </c>
      <c r="AL237" s="1109">
        <f t="shared" si="111"/>
        <v>0</v>
      </c>
      <c r="AM237" s="1074">
        <v>0</v>
      </c>
      <c r="AN237" s="1085">
        <f t="shared" si="113"/>
        <v>0</v>
      </c>
      <c r="AO237" s="1074">
        <f t="shared" si="114"/>
        <v>0</v>
      </c>
      <c r="AP237" s="1080"/>
    </row>
    <row r="238" spans="1:42" outlineLevel="2" x14ac:dyDescent="0.2">
      <c r="A238" s="1075">
        <v>506</v>
      </c>
      <c r="B238" s="1078"/>
      <c r="D238" s="1075" t="s">
        <v>970</v>
      </c>
      <c r="E238" s="1075" t="s">
        <v>3207</v>
      </c>
      <c r="F238" s="1075">
        <v>813320</v>
      </c>
      <c r="M238" s="1075" t="s">
        <v>3176</v>
      </c>
      <c r="N238" s="1075" t="s">
        <v>3180</v>
      </c>
      <c r="Q238" s="1074"/>
      <c r="R238" s="1074"/>
      <c r="S238" s="1074"/>
      <c r="T238" s="1074"/>
      <c r="U238" s="1074"/>
      <c r="V238" s="1074"/>
      <c r="W238" s="1074"/>
      <c r="X238" s="1074"/>
      <c r="Y238" s="1074"/>
      <c r="Z238" s="1074"/>
      <c r="AA238" s="1074"/>
      <c r="AB238" s="1074"/>
      <c r="AC238" s="1074"/>
      <c r="AD238" s="1074"/>
      <c r="AE238" s="1074"/>
      <c r="AF238" s="1074"/>
      <c r="AG238" s="1095"/>
      <c r="AH238" s="1074"/>
      <c r="AI238" s="1074"/>
      <c r="AK238" s="1074"/>
      <c r="AL238" s="1109">
        <v>0</v>
      </c>
      <c r="AM238" s="1074">
        <v>40000</v>
      </c>
      <c r="AP238" s="1080"/>
    </row>
    <row r="239" spans="1:42" outlineLevel="2" x14ac:dyDescent="0.2">
      <c r="A239" s="1075">
        <v>506</v>
      </c>
      <c r="B239" s="1078"/>
      <c r="D239" s="1075" t="s">
        <v>3208</v>
      </c>
      <c r="E239" s="1075" t="s">
        <v>3209</v>
      </c>
      <c r="F239" s="1075">
        <v>813320</v>
      </c>
      <c r="M239" s="1075" t="s">
        <v>3176</v>
      </c>
      <c r="N239" s="1075" t="s">
        <v>3180</v>
      </c>
      <c r="Q239" s="1074"/>
      <c r="R239" s="1074"/>
      <c r="S239" s="1074"/>
      <c r="T239" s="1074"/>
      <c r="U239" s="1074"/>
      <c r="V239" s="1074"/>
      <c r="W239" s="1074"/>
      <c r="X239" s="1074"/>
      <c r="Y239" s="1074"/>
      <c r="Z239" s="1074"/>
      <c r="AA239" s="1074"/>
      <c r="AB239" s="1074"/>
      <c r="AC239" s="1074"/>
      <c r="AD239" s="1074"/>
      <c r="AE239" s="1074"/>
      <c r="AF239" s="1074"/>
      <c r="AG239" s="1095"/>
      <c r="AH239" s="1074"/>
      <c r="AI239" s="1074"/>
      <c r="AK239" s="1074"/>
      <c r="AL239" s="1109">
        <v>0</v>
      </c>
      <c r="AM239" s="1074">
        <v>30000</v>
      </c>
      <c r="AP239" s="1080"/>
    </row>
    <row r="240" spans="1:42" outlineLevel="1" x14ac:dyDescent="0.2">
      <c r="B240" s="1078"/>
      <c r="F240" s="1088" t="s">
        <v>3111</v>
      </c>
      <c r="O240" s="1077">
        <f>SUBTOTAL(9,O223:O239)</f>
        <v>0</v>
      </c>
      <c r="Q240" s="1074">
        <f>SUBTOTAL(9,Q223:Q239)</f>
        <v>37534.709999999992</v>
      </c>
      <c r="R240" s="1074"/>
      <c r="S240" s="1074"/>
      <c r="T240" s="1074"/>
      <c r="U240" s="1074"/>
      <c r="V240" s="1074"/>
      <c r="W240" s="1074"/>
      <c r="X240" s="1074"/>
      <c r="Y240" s="1074"/>
      <c r="Z240" s="1074"/>
      <c r="AA240" s="1074"/>
      <c r="AB240" s="1074"/>
      <c r="AC240" s="1074"/>
      <c r="AD240" s="1074"/>
      <c r="AE240" s="1074"/>
      <c r="AF240" s="1074"/>
      <c r="AG240" s="1095">
        <f t="shared" ref="AG240:AM240" si="116">SUBTOTAL(9,AG223:AG239)</f>
        <v>459343.45000000007</v>
      </c>
      <c r="AH240" s="1074">
        <f t="shared" si="116"/>
        <v>112604.13</v>
      </c>
      <c r="AI240" s="1074">
        <f t="shared" si="116"/>
        <v>571947.58000000007</v>
      </c>
      <c r="AJ240" s="1077">
        <f t="shared" si="116"/>
        <v>5.5870588235294116</v>
      </c>
      <c r="AK240" s="1074">
        <f t="shared" si="116"/>
        <v>442700</v>
      </c>
      <c r="AL240" s="1109">
        <f t="shared" si="116"/>
        <v>0</v>
      </c>
      <c r="AM240" s="1074">
        <f t="shared" si="116"/>
        <v>650563.1026000001</v>
      </c>
      <c r="AP240" s="1080">
        <f>SUBTOTAL(9,AP223:AP239)</f>
        <v>0</v>
      </c>
    </row>
    <row r="241" spans="1:42" outlineLevel="2" x14ac:dyDescent="0.2">
      <c r="A241" s="1075">
        <v>506</v>
      </c>
      <c r="B241" s="1078">
        <v>2622839</v>
      </c>
      <c r="C241" s="1075">
        <v>26228395</v>
      </c>
      <c r="D241" s="1075" t="s">
        <v>1419</v>
      </c>
      <c r="E241" s="1075" t="s">
        <v>1569</v>
      </c>
      <c r="F241" s="1075">
        <v>813340</v>
      </c>
      <c r="G241" s="1075" t="s">
        <v>2107</v>
      </c>
      <c r="H241" s="1075">
        <v>90534</v>
      </c>
      <c r="I241" s="1075">
        <v>1</v>
      </c>
      <c r="J241" s="1075">
        <v>0</v>
      </c>
      <c r="K241" s="1075">
        <v>0</v>
      </c>
      <c r="L241" s="1075">
        <v>0</v>
      </c>
      <c r="M241" s="1075" t="s">
        <v>3176</v>
      </c>
      <c r="N241" s="1075" t="s">
        <v>1926</v>
      </c>
      <c r="O241" s="1077">
        <f>P241/100</f>
        <v>0</v>
      </c>
      <c r="P241" s="1075">
        <v>0</v>
      </c>
      <c r="Q241" s="1074">
        <v>3299.55</v>
      </c>
      <c r="R241" s="1074">
        <v>508.05</v>
      </c>
      <c r="S241" s="1074">
        <v>86.8</v>
      </c>
      <c r="T241" s="1074">
        <v>2516</v>
      </c>
      <c r="U241" s="1074">
        <v>0</v>
      </c>
      <c r="V241" s="1074">
        <v>0</v>
      </c>
      <c r="W241" s="1074">
        <v>0</v>
      </c>
      <c r="X241" s="1074">
        <v>0</v>
      </c>
      <c r="Y241" s="1074">
        <v>96.8</v>
      </c>
      <c r="Z241" s="1074">
        <v>0</v>
      </c>
      <c r="AA241" s="1074">
        <v>2419.1999999999998</v>
      </c>
      <c r="AB241" s="1074">
        <v>188.7</v>
      </c>
      <c r="AC241" s="1074">
        <v>0</v>
      </c>
      <c r="AD241" s="1074">
        <v>0</v>
      </c>
      <c r="AE241" s="1074">
        <v>1813340</v>
      </c>
      <c r="AF241" s="1074" t="s">
        <v>251</v>
      </c>
      <c r="AG241" s="1095">
        <f>VLOOKUP(B241,עזר!A$2:B$329,2,FALSE)</f>
        <v>25346.42</v>
      </c>
      <c r="AH241" s="1074">
        <f>Q241*3</f>
        <v>9898.6500000000015</v>
      </c>
      <c r="AI241" s="1074">
        <f>AH241+AG241</f>
        <v>35245.07</v>
      </c>
      <c r="AJ241" s="1077" t="str">
        <f>VLOOKUP(B241,Sheet1!D$2:K$430,7,FALSE)</f>
        <v>שעתי</v>
      </c>
      <c r="AK241" s="1074">
        <f>VLOOKUP(B241,Sheet1!D$2:L$430,8,FALSE)</f>
        <v>39640</v>
      </c>
      <c r="AL241" s="1109">
        <f>O241</f>
        <v>0</v>
      </c>
      <c r="AM241" s="1074">
        <f>AI241*1.02</f>
        <v>35949.971400000002</v>
      </c>
      <c r="AN241" s="1085">
        <f>AL241</f>
        <v>0</v>
      </c>
      <c r="AO241" s="1074">
        <f>AM241</f>
        <v>35949.971400000002</v>
      </c>
      <c r="AP241" s="1080"/>
    </row>
    <row r="242" spans="1:42" outlineLevel="2" x14ac:dyDescent="0.2">
      <c r="A242" s="1075">
        <v>506</v>
      </c>
      <c r="B242" s="1078">
        <v>4093593</v>
      </c>
      <c r="C242" s="1075">
        <v>40935934</v>
      </c>
      <c r="D242" s="1075" t="s">
        <v>2129</v>
      </c>
      <c r="E242" s="1075" t="s">
        <v>1128</v>
      </c>
      <c r="F242" s="1075">
        <v>813340</v>
      </c>
      <c r="G242" s="1075" t="s">
        <v>2107</v>
      </c>
      <c r="H242" s="1075">
        <v>90534</v>
      </c>
      <c r="I242" s="1075">
        <v>1</v>
      </c>
      <c r="J242" s="1075">
        <v>0</v>
      </c>
      <c r="K242" s="1075">
        <v>0</v>
      </c>
      <c r="L242" s="1075">
        <v>0</v>
      </c>
      <c r="O242" s="1077">
        <f>P242/100</f>
        <v>0</v>
      </c>
      <c r="P242" s="1075">
        <v>0</v>
      </c>
      <c r="Q242" s="1074">
        <v>511.56</v>
      </c>
      <c r="R242" s="1074">
        <v>67.760000000000005</v>
      </c>
      <c r="S242" s="1074">
        <v>13.8</v>
      </c>
      <c r="T242" s="1074">
        <v>400</v>
      </c>
      <c r="U242" s="1074">
        <v>0</v>
      </c>
      <c r="V242" s="1074">
        <v>0</v>
      </c>
      <c r="W242" s="1074">
        <v>0</v>
      </c>
      <c r="X242" s="1074">
        <v>0</v>
      </c>
      <c r="Y242" s="1074">
        <v>77.45</v>
      </c>
      <c r="Z242" s="1074">
        <v>0</v>
      </c>
      <c r="AA242" s="1074">
        <v>322.55</v>
      </c>
      <c r="AB242" s="1074">
        <v>30</v>
      </c>
      <c r="AC242" s="1074">
        <v>0</v>
      </c>
      <c r="AD242" s="1074">
        <v>0</v>
      </c>
      <c r="AE242" s="1074">
        <v>1813340</v>
      </c>
      <c r="AF242" s="1074" t="s">
        <v>251</v>
      </c>
      <c r="AG242" s="1095">
        <v>0</v>
      </c>
      <c r="AH242" s="1074">
        <f>Q242*3</f>
        <v>1534.68</v>
      </c>
      <c r="AI242" s="1074">
        <f>AH242+AG242</f>
        <v>1534.68</v>
      </c>
      <c r="AJ242" s="1077">
        <f>VLOOKUP(B242,Sheet1!D$2:K$430,7,FALSE)</f>
        <v>0</v>
      </c>
      <c r="AK242" s="1074">
        <f>VLOOKUP(B242,Sheet1!D$2:L$430,8,FALSE)</f>
        <v>26594</v>
      </c>
      <c r="AL242" s="1109">
        <f>O242</f>
        <v>0</v>
      </c>
      <c r="AM242" s="1074">
        <v>12000</v>
      </c>
      <c r="AN242" s="1085">
        <f>AL242</f>
        <v>0</v>
      </c>
      <c r="AO242" s="1074">
        <f>AM242</f>
        <v>12000</v>
      </c>
      <c r="AP242" s="1080"/>
    </row>
    <row r="243" spans="1:42" outlineLevel="1" x14ac:dyDescent="0.2">
      <c r="B243" s="1078"/>
      <c r="F243" s="1088" t="s">
        <v>3112</v>
      </c>
      <c r="O243" s="1077">
        <f>SUBTOTAL(9,O241:O242)</f>
        <v>0</v>
      </c>
      <c r="Q243" s="1074">
        <f>SUBTOTAL(9,Q241:Q242)</f>
        <v>3811.11</v>
      </c>
      <c r="R243" s="1074"/>
      <c r="S243" s="1074"/>
      <c r="T243" s="1074"/>
      <c r="U243" s="1074"/>
      <c r="V243" s="1074"/>
      <c r="W243" s="1074"/>
      <c r="X243" s="1074"/>
      <c r="Y243" s="1074"/>
      <c r="Z243" s="1074"/>
      <c r="AA243" s="1074"/>
      <c r="AB243" s="1074"/>
      <c r="AC243" s="1074"/>
      <c r="AD243" s="1074"/>
      <c r="AE243" s="1074"/>
      <c r="AF243" s="1074"/>
      <c r="AG243" s="1095">
        <f t="shared" ref="AG243:AM243" si="117">SUBTOTAL(9,AG241:AG242)</f>
        <v>25346.42</v>
      </c>
      <c r="AH243" s="1074">
        <f t="shared" si="117"/>
        <v>11433.330000000002</v>
      </c>
      <c r="AI243" s="1074">
        <f t="shared" si="117"/>
        <v>36779.75</v>
      </c>
      <c r="AJ243" s="1077">
        <f t="shared" si="117"/>
        <v>0</v>
      </c>
      <c r="AK243" s="1074">
        <f t="shared" si="117"/>
        <v>66234</v>
      </c>
      <c r="AL243" s="1109">
        <f t="shared" si="117"/>
        <v>0</v>
      </c>
      <c r="AM243" s="1074">
        <f t="shared" si="117"/>
        <v>47949.971400000002</v>
      </c>
      <c r="AP243" s="1080">
        <f>SUBTOTAL(9,AP241:AP242)</f>
        <v>0</v>
      </c>
    </row>
    <row r="244" spans="1:42" outlineLevel="2" x14ac:dyDescent="0.2">
      <c r="A244" s="1075">
        <v>506</v>
      </c>
      <c r="B244" s="1078">
        <v>2310870</v>
      </c>
      <c r="C244" s="1075">
        <v>23108707</v>
      </c>
      <c r="D244" s="1075" t="s">
        <v>2208</v>
      </c>
      <c r="E244" s="1075" t="s">
        <v>2218</v>
      </c>
      <c r="F244" s="1075">
        <v>814000</v>
      </c>
      <c r="G244" s="1075" t="s">
        <v>2107</v>
      </c>
      <c r="H244" s="1075">
        <v>90534</v>
      </c>
      <c r="I244" s="1075">
        <v>1</v>
      </c>
      <c r="J244" s="1075">
        <v>0</v>
      </c>
      <c r="K244" s="1075">
        <v>0</v>
      </c>
      <c r="L244" s="1075">
        <v>0</v>
      </c>
      <c r="M244" s="1075" t="s">
        <v>1586</v>
      </c>
      <c r="N244" s="1075" t="s">
        <v>3181</v>
      </c>
      <c r="O244" s="1077">
        <f t="shared" ref="O244:O253" si="118">P244/100</f>
        <v>0</v>
      </c>
      <c r="P244" s="1075">
        <v>0</v>
      </c>
      <c r="Q244" s="1074">
        <v>5206</v>
      </c>
      <c r="R244" s="1074">
        <v>0</v>
      </c>
      <c r="S244" s="1074">
        <v>0</v>
      </c>
      <c r="T244" s="1074">
        <v>4842.8</v>
      </c>
      <c r="U244" s="1074">
        <v>0</v>
      </c>
      <c r="V244" s="1074">
        <v>0</v>
      </c>
      <c r="W244" s="1074">
        <v>0</v>
      </c>
      <c r="X244" s="1074">
        <v>0</v>
      </c>
      <c r="Y244" s="1074">
        <v>0</v>
      </c>
      <c r="Z244" s="1074">
        <v>0</v>
      </c>
      <c r="AA244" s="1074">
        <v>4842.8</v>
      </c>
      <c r="AB244" s="1074">
        <v>363.2</v>
      </c>
      <c r="AC244" s="1074">
        <v>0</v>
      </c>
      <c r="AD244" s="1074">
        <v>0</v>
      </c>
      <c r="AE244" s="1074">
        <v>1814000</v>
      </c>
      <c r="AF244" s="1074" t="s">
        <v>251</v>
      </c>
      <c r="AG244" s="1095">
        <f>VLOOKUP(B244,עזר!A$2:B$329,2,FALSE)</f>
        <v>44352.740000000005</v>
      </c>
      <c r="AH244" s="1074">
        <f t="shared" ref="AH244:AH260" si="119">Q244*3</f>
        <v>15618</v>
      </c>
      <c r="AI244" s="1074">
        <f t="shared" ref="AI244:AI258" si="120">AH244+AG244</f>
        <v>59970.740000000005</v>
      </c>
      <c r="AJ244" s="1077">
        <f>VLOOKUP(B244,Sheet1!D$2:K$430,7,FALSE)</f>
        <v>0.6</v>
      </c>
      <c r="AK244" s="1074">
        <f>VLOOKUP(B244,Sheet1!D$2:L$430,8,FALSE)</f>
        <v>37905</v>
      </c>
      <c r="AL244" s="1109">
        <f t="shared" ref="AL244:AL260" si="121">O244</f>
        <v>0</v>
      </c>
      <c r="AM244" s="1074">
        <f t="shared" ref="AM244:AM253" si="122">AI244*1.02</f>
        <v>61170.154800000004</v>
      </c>
      <c r="AN244" s="1085">
        <f>AL244</f>
        <v>0</v>
      </c>
      <c r="AO244" s="1074">
        <v>0</v>
      </c>
      <c r="AP244" s="1080"/>
    </row>
    <row r="245" spans="1:42" outlineLevel="2" x14ac:dyDescent="0.2">
      <c r="A245" s="1075">
        <v>506</v>
      </c>
      <c r="B245" s="1078">
        <v>2319412</v>
      </c>
      <c r="C245" s="1075">
        <v>23194129</v>
      </c>
      <c r="D245" s="1075" t="s">
        <v>2112</v>
      </c>
      <c r="E245" s="1075" t="s">
        <v>2197</v>
      </c>
      <c r="F245" s="1075">
        <v>814000</v>
      </c>
      <c r="G245" s="1075" t="s">
        <v>2107</v>
      </c>
      <c r="H245" s="1075">
        <v>90534</v>
      </c>
      <c r="I245" s="1075">
        <v>0</v>
      </c>
      <c r="J245" s="1075">
        <v>5</v>
      </c>
      <c r="K245" s="1075">
        <v>5</v>
      </c>
      <c r="L245" s="1075">
        <v>0</v>
      </c>
      <c r="M245" s="1075" t="s">
        <v>1586</v>
      </c>
      <c r="N245" s="1075" t="s">
        <v>3181</v>
      </c>
      <c r="O245" s="1077">
        <f t="shared" si="118"/>
        <v>0.5</v>
      </c>
      <c r="P245" s="1075">
        <v>50</v>
      </c>
      <c r="Q245" s="1074">
        <v>4675.9799999999996</v>
      </c>
      <c r="R245" s="1074">
        <v>712.6</v>
      </c>
      <c r="S245" s="1074">
        <v>123.24</v>
      </c>
      <c r="T245" s="1074">
        <v>3572.24</v>
      </c>
      <c r="U245" s="1074">
        <v>0</v>
      </c>
      <c r="V245" s="1074">
        <v>0</v>
      </c>
      <c r="W245" s="1074">
        <v>0</v>
      </c>
      <c r="X245" s="1074">
        <v>0</v>
      </c>
      <c r="Y245" s="1074">
        <v>234.85</v>
      </c>
      <c r="Z245" s="1074">
        <v>0</v>
      </c>
      <c r="AA245" s="1074">
        <v>3337.39</v>
      </c>
      <c r="AB245" s="1074">
        <v>267.89999999999998</v>
      </c>
      <c r="AC245" s="1074">
        <v>0</v>
      </c>
      <c r="AD245" s="1074">
        <v>0</v>
      </c>
      <c r="AE245" s="1074">
        <v>1814000</v>
      </c>
      <c r="AF245" s="1074" t="s">
        <v>251</v>
      </c>
      <c r="AG245" s="1095">
        <f>VLOOKUP(B245,עזר!A$2:B$329,2,FALSE)</f>
        <v>44209.760000000002</v>
      </c>
      <c r="AH245" s="1074">
        <f t="shared" si="119"/>
        <v>14027.939999999999</v>
      </c>
      <c r="AI245" s="1074">
        <f t="shared" si="120"/>
        <v>58237.7</v>
      </c>
      <c r="AJ245" s="1077">
        <f>VLOOKUP(B245,Sheet1!D$2:K$430,7,FALSE)</f>
        <v>0.5</v>
      </c>
      <c r="AK245" s="1074">
        <f>VLOOKUP(B245,Sheet1!D$2:L$430,8,FALSE)</f>
        <v>54000</v>
      </c>
      <c r="AL245" s="1109">
        <f t="shared" si="121"/>
        <v>0.5</v>
      </c>
      <c r="AM245" s="1074">
        <f t="shared" si="122"/>
        <v>59402.453999999998</v>
      </c>
      <c r="AN245" s="1085">
        <v>0</v>
      </c>
      <c r="AO245" s="1074">
        <v>0</v>
      </c>
      <c r="AP245" s="1080"/>
    </row>
    <row r="246" spans="1:42" outlineLevel="2" x14ac:dyDescent="0.2">
      <c r="A246" s="1075">
        <v>506</v>
      </c>
      <c r="B246" s="1078">
        <v>2328715</v>
      </c>
      <c r="C246" s="1075">
        <v>23287154</v>
      </c>
      <c r="D246" s="1075" t="s">
        <v>1419</v>
      </c>
      <c r="E246" s="1075" t="s">
        <v>2219</v>
      </c>
      <c r="F246" s="1075">
        <v>814000</v>
      </c>
      <c r="G246" s="1075" t="s">
        <v>2107</v>
      </c>
      <c r="H246" s="1075">
        <v>90534</v>
      </c>
      <c r="I246" s="1075">
        <v>0</v>
      </c>
      <c r="J246" s="1075">
        <v>5</v>
      </c>
      <c r="K246" s="1075">
        <v>37</v>
      </c>
      <c r="L246" s="1075">
        <v>0</v>
      </c>
      <c r="M246" s="1075" t="s">
        <v>1586</v>
      </c>
      <c r="N246" s="1075" t="s">
        <v>3181</v>
      </c>
      <c r="O246" s="1077">
        <f t="shared" si="118"/>
        <v>0.5</v>
      </c>
      <c r="P246" s="1075">
        <v>50</v>
      </c>
      <c r="Q246" s="1074">
        <v>8764.7999999999993</v>
      </c>
      <c r="R246" s="1074">
        <v>477.8</v>
      </c>
      <c r="S246" s="1074">
        <v>287.58</v>
      </c>
      <c r="T246" s="1074">
        <v>7441.32</v>
      </c>
      <c r="U246" s="1074">
        <v>0</v>
      </c>
      <c r="V246" s="1074">
        <v>0</v>
      </c>
      <c r="W246" s="1074">
        <v>0</v>
      </c>
      <c r="X246" s="1074">
        <v>0</v>
      </c>
      <c r="Y246" s="1074">
        <v>242.15</v>
      </c>
      <c r="Z246" s="1074">
        <v>0</v>
      </c>
      <c r="AA246" s="1074">
        <v>7199.17</v>
      </c>
      <c r="AB246" s="1074">
        <v>558.1</v>
      </c>
      <c r="AC246" s="1074">
        <v>0</v>
      </c>
      <c r="AD246" s="1074">
        <v>0</v>
      </c>
      <c r="AE246" s="1074">
        <v>1814000</v>
      </c>
      <c r="AF246" s="1074" t="s">
        <v>251</v>
      </c>
      <c r="AG246" s="1095">
        <f>VLOOKUP(B246,עזר!A$2:B$329,2,FALSE)</f>
        <v>60833.91</v>
      </c>
      <c r="AH246" s="1074">
        <f t="shared" si="119"/>
        <v>26294.399999999998</v>
      </c>
      <c r="AI246" s="1074">
        <f t="shared" si="120"/>
        <v>87128.31</v>
      </c>
      <c r="AJ246" s="1077">
        <f>VLOOKUP(B246,Sheet1!D$2:K$430,7,FALSE)</f>
        <v>0.5</v>
      </c>
      <c r="AK246" s="1074">
        <f>VLOOKUP(B246,Sheet1!D$2:L$430,8,FALSE)</f>
        <v>77000</v>
      </c>
      <c r="AL246" s="1109">
        <f t="shared" si="121"/>
        <v>0.5</v>
      </c>
      <c r="AM246" s="1074">
        <f t="shared" si="122"/>
        <v>88870.876199999999</v>
      </c>
      <c r="AN246" s="1085">
        <v>0</v>
      </c>
      <c r="AO246" s="1074">
        <v>0</v>
      </c>
      <c r="AP246" s="1080"/>
    </row>
    <row r="247" spans="1:42" outlineLevel="2" x14ac:dyDescent="0.2">
      <c r="A247" s="1075">
        <v>506</v>
      </c>
      <c r="B247" s="1078">
        <v>2635877</v>
      </c>
      <c r="C247" s="1075">
        <v>26358770</v>
      </c>
      <c r="D247" s="1075" t="s">
        <v>2220</v>
      </c>
      <c r="E247" s="1075" t="s">
        <v>2221</v>
      </c>
      <c r="F247" s="1075">
        <v>814000</v>
      </c>
      <c r="G247" s="1075" t="s">
        <v>2107</v>
      </c>
      <c r="H247" s="1075">
        <v>90534</v>
      </c>
      <c r="I247" s="1075">
        <v>1</v>
      </c>
      <c r="J247" s="1075">
        <v>0</v>
      </c>
      <c r="K247" s="1075">
        <v>0</v>
      </c>
      <c r="L247" s="1075">
        <v>0</v>
      </c>
      <c r="M247" s="1075" t="s">
        <v>1586</v>
      </c>
      <c r="N247" s="1075" t="s">
        <v>3181</v>
      </c>
      <c r="O247" s="1077">
        <f t="shared" si="118"/>
        <v>0</v>
      </c>
      <c r="P247" s="1075">
        <v>0</v>
      </c>
      <c r="Q247" s="1074">
        <v>2961.55</v>
      </c>
      <c r="R247" s="1074">
        <v>0</v>
      </c>
      <c r="S247" s="1074">
        <v>0</v>
      </c>
      <c r="T247" s="1074">
        <v>2754.95</v>
      </c>
      <c r="U247" s="1074">
        <v>0</v>
      </c>
      <c r="V247" s="1074">
        <v>0</v>
      </c>
      <c r="W247" s="1074">
        <v>0</v>
      </c>
      <c r="X247" s="1074">
        <v>0</v>
      </c>
      <c r="Y247" s="1074">
        <v>0</v>
      </c>
      <c r="Z247" s="1074">
        <v>0</v>
      </c>
      <c r="AA247" s="1074">
        <v>2754.95</v>
      </c>
      <c r="AB247" s="1074">
        <v>206.6</v>
      </c>
      <c r="AC247" s="1074">
        <v>0</v>
      </c>
      <c r="AD247" s="1074">
        <v>0</v>
      </c>
      <c r="AE247" s="1074">
        <v>1814000</v>
      </c>
      <c r="AF247" s="1074" t="s">
        <v>251</v>
      </c>
      <c r="AG247" s="1095">
        <f>VLOOKUP(B247,עזר!A$2:B$329,2,FALSE)</f>
        <v>36784.050000000003</v>
      </c>
      <c r="AH247" s="1074">
        <f t="shared" si="119"/>
        <v>8884.6500000000015</v>
      </c>
      <c r="AI247" s="1074">
        <f t="shared" si="120"/>
        <v>45668.700000000004</v>
      </c>
      <c r="AJ247" s="1077">
        <f>VLOOKUP(B247,Sheet1!D$2:K$430,7,FALSE)</f>
        <v>0.5</v>
      </c>
      <c r="AK247" s="1074">
        <f>VLOOKUP(B247,Sheet1!D$2:L$430,8,FALSE)</f>
        <v>46165</v>
      </c>
      <c r="AL247" s="1109">
        <f t="shared" si="121"/>
        <v>0</v>
      </c>
      <c r="AM247" s="1074">
        <v>0</v>
      </c>
      <c r="AN247" s="1085">
        <v>0</v>
      </c>
      <c r="AO247" s="1074">
        <v>0</v>
      </c>
      <c r="AP247" s="1080"/>
    </row>
    <row r="248" spans="1:42" outlineLevel="2" x14ac:dyDescent="0.2">
      <c r="A248" s="1075">
        <v>506</v>
      </c>
      <c r="B248" s="1078">
        <v>2827480</v>
      </c>
      <c r="C248" s="1075">
        <v>28274801</v>
      </c>
      <c r="D248" s="1075" t="s">
        <v>2222</v>
      </c>
      <c r="E248" s="1075" t="s">
        <v>2223</v>
      </c>
      <c r="F248" s="1075">
        <v>814000</v>
      </c>
      <c r="G248" s="1075" t="s">
        <v>2107</v>
      </c>
      <c r="H248" s="1075">
        <v>90534</v>
      </c>
      <c r="I248" s="1075">
        <v>0</v>
      </c>
      <c r="J248" s="1075">
        <v>5</v>
      </c>
      <c r="K248" s="1075">
        <v>37</v>
      </c>
      <c r="L248" s="1075">
        <v>0</v>
      </c>
      <c r="M248" s="1075" t="s">
        <v>1586</v>
      </c>
      <c r="N248" s="1075" t="s">
        <v>3181</v>
      </c>
      <c r="O248" s="1077">
        <f t="shared" si="118"/>
        <v>0.68</v>
      </c>
      <c r="P248" s="1075">
        <v>68</v>
      </c>
      <c r="Q248" s="1074">
        <v>5239.67</v>
      </c>
      <c r="R248" s="1074">
        <v>428.15</v>
      </c>
      <c r="S248" s="1074">
        <v>149.61000000000001</v>
      </c>
      <c r="T248" s="1074">
        <v>4336.66</v>
      </c>
      <c r="U248" s="1074">
        <v>0</v>
      </c>
      <c r="V248" s="1074">
        <v>0</v>
      </c>
      <c r="W248" s="1074">
        <v>0</v>
      </c>
      <c r="X248" s="1074">
        <v>0</v>
      </c>
      <c r="Y248" s="1074">
        <v>110.5</v>
      </c>
      <c r="Z248" s="1074">
        <v>0</v>
      </c>
      <c r="AA248" s="1074">
        <v>4226.16</v>
      </c>
      <c r="AB248" s="1074">
        <v>325.25</v>
      </c>
      <c r="AC248" s="1074">
        <v>0</v>
      </c>
      <c r="AD248" s="1074">
        <v>0</v>
      </c>
      <c r="AE248" s="1074">
        <v>1814000</v>
      </c>
      <c r="AF248" s="1074" t="s">
        <v>251</v>
      </c>
      <c r="AG248" s="1095">
        <f>VLOOKUP(B248,עזר!A$2:B$329,2,FALSE)</f>
        <v>52421.57</v>
      </c>
      <c r="AH248" s="1074">
        <f t="shared" si="119"/>
        <v>15719.01</v>
      </c>
      <c r="AI248" s="1074">
        <f t="shared" si="120"/>
        <v>68140.58</v>
      </c>
      <c r="AJ248" s="1077">
        <f>VLOOKUP(B248,Sheet1!D$2:K$430,7,FALSE)</f>
        <v>0.5</v>
      </c>
      <c r="AK248" s="1074">
        <f>VLOOKUP(B248,Sheet1!D$2:L$430,8,FALSE)</f>
        <v>63204</v>
      </c>
      <c r="AL248" s="1109">
        <f t="shared" si="121"/>
        <v>0.68</v>
      </c>
      <c r="AM248" s="1074">
        <f t="shared" si="122"/>
        <v>69503.391600000003</v>
      </c>
      <c r="AN248" s="1085">
        <v>0</v>
      </c>
      <c r="AO248" s="1074">
        <v>0</v>
      </c>
      <c r="AP248" s="1080"/>
    </row>
    <row r="249" spans="1:42" outlineLevel="2" x14ac:dyDescent="0.2">
      <c r="A249" s="1075">
        <v>506</v>
      </c>
      <c r="B249" s="1078">
        <v>3311068</v>
      </c>
      <c r="C249" s="1075">
        <v>33110685</v>
      </c>
      <c r="D249" s="1075" t="s">
        <v>2131</v>
      </c>
      <c r="E249" s="1075" t="s">
        <v>2191</v>
      </c>
      <c r="F249" s="1075">
        <v>814000</v>
      </c>
      <c r="G249" s="1075" t="s">
        <v>2107</v>
      </c>
      <c r="H249" s="1075">
        <v>90534</v>
      </c>
      <c r="I249" s="1075">
        <v>0</v>
      </c>
      <c r="J249" s="1075">
        <v>5</v>
      </c>
      <c r="K249" s="1075">
        <v>37</v>
      </c>
      <c r="L249" s="1075">
        <v>0</v>
      </c>
      <c r="M249" s="1075" t="s">
        <v>1586</v>
      </c>
      <c r="N249" s="1075" t="s">
        <v>3181</v>
      </c>
      <c r="O249" s="1077">
        <f t="shared" si="118"/>
        <v>0.5</v>
      </c>
      <c r="P249" s="1075">
        <v>50</v>
      </c>
      <c r="Q249" s="1074">
        <v>3757.83</v>
      </c>
      <c r="R249" s="1074">
        <v>304.25</v>
      </c>
      <c r="S249" s="1074">
        <v>107.39</v>
      </c>
      <c r="T249" s="1074">
        <v>3112.74</v>
      </c>
      <c r="U249" s="1074">
        <v>0</v>
      </c>
      <c r="V249" s="1074">
        <v>0</v>
      </c>
      <c r="W249" s="1074">
        <v>0</v>
      </c>
      <c r="X249" s="1074">
        <v>0</v>
      </c>
      <c r="Y249" s="1074">
        <v>140.5</v>
      </c>
      <c r="Z249" s="1074">
        <v>0</v>
      </c>
      <c r="AA249" s="1074">
        <v>2972.24</v>
      </c>
      <c r="AB249" s="1074">
        <v>233.45</v>
      </c>
      <c r="AC249" s="1074">
        <v>0</v>
      </c>
      <c r="AD249" s="1074">
        <v>0</v>
      </c>
      <c r="AE249" s="1074">
        <v>1814000</v>
      </c>
      <c r="AF249" s="1074" t="s">
        <v>251</v>
      </c>
      <c r="AG249" s="1095">
        <f>VLOOKUP(B249,עזר!A$2:B$329,2,FALSE)</f>
        <v>37635.57</v>
      </c>
      <c r="AH249" s="1074">
        <f t="shared" si="119"/>
        <v>11273.49</v>
      </c>
      <c r="AI249" s="1074">
        <f t="shared" si="120"/>
        <v>48909.06</v>
      </c>
      <c r="AJ249" s="1077">
        <f>VLOOKUP(B249,Sheet1!D$2:K$430,7,FALSE)</f>
        <v>0.5</v>
      </c>
      <c r="AK249" s="1074">
        <f>VLOOKUP(B249,Sheet1!D$2:L$430,8,FALSE)</f>
        <v>45000</v>
      </c>
      <c r="AL249" s="1109">
        <f t="shared" si="121"/>
        <v>0.5</v>
      </c>
      <c r="AM249" s="1074">
        <f t="shared" si="122"/>
        <v>49887.241199999997</v>
      </c>
      <c r="AN249" s="1085">
        <v>0</v>
      </c>
      <c r="AO249" s="1074">
        <v>0</v>
      </c>
      <c r="AP249" s="1080"/>
    </row>
    <row r="250" spans="1:42" outlineLevel="2" x14ac:dyDescent="0.2">
      <c r="A250" s="1075">
        <v>506</v>
      </c>
      <c r="B250" s="1078">
        <v>3945507</v>
      </c>
      <c r="C250" s="1075">
        <v>39455076</v>
      </c>
      <c r="D250" s="1075" t="s">
        <v>2123</v>
      </c>
      <c r="E250" s="1075" t="s">
        <v>2194</v>
      </c>
      <c r="F250" s="1075">
        <v>814000</v>
      </c>
      <c r="G250" s="1075" t="s">
        <v>2107</v>
      </c>
      <c r="H250" s="1075">
        <v>90534</v>
      </c>
      <c r="I250" s="1075">
        <v>0</v>
      </c>
      <c r="J250" s="1075">
        <v>5</v>
      </c>
      <c r="K250" s="1075">
        <v>5</v>
      </c>
      <c r="L250" s="1075">
        <v>0</v>
      </c>
      <c r="M250" s="1075" t="s">
        <v>1586</v>
      </c>
      <c r="N250" s="1075" t="s">
        <v>3181</v>
      </c>
      <c r="O250" s="1077">
        <f t="shared" si="118"/>
        <v>0.5</v>
      </c>
      <c r="P250" s="1075">
        <v>50</v>
      </c>
      <c r="Q250" s="1074">
        <v>4231.09</v>
      </c>
      <c r="R250" s="1074">
        <v>641.75</v>
      </c>
      <c r="S250" s="1074">
        <v>111.61</v>
      </c>
      <c r="T250" s="1074">
        <v>3235.08</v>
      </c>
      <c r="U250" s="1074">
        <v>0</v>
      </c>
      <c r="V250" s="1074">
        <v>0</v>
      </c>
      <c r="W250" s="1074">
        <v>0</v>
      </c>
      <c r="X250" s="1074">
        <v>0</v>
      </c>
      <c r="Y250" s="1074">
        <v>234.85</v>
      </c>
      <c r="Z250" s="1074">
        <v>0</v>
      </c>
      <c r="AA250" s="1074">
        <v>3000.23</v>
      </c>
      <c r="AB250" s="1074">
        <v>242.65</v>
      </c>
      <c r="AC250" s="1074">
        <v>0</v>
      </c>
      <c r="AD250" s="1074">
        <v>0</v>
      </c>
      <c r="AE250" s="1074">
        <v>1814000</v>
      </c>
      <c r="AF250" s="1074" t="s">
        <v>251</v>
      </c>
      <c r="AG250" s="1095">
        <f>VLOOKUP(B250,עזר!A$2:B$329,2,FALSE)</f>
        <v>45220.28</v>
      </c>
      <c r="AH250" s="1074">
        <f t="shared" si="119"/>
        <v>12693.27</v>
      </c>
      <c r="AI250" s="1074">
        <f t="shared" si="120"/>
        <v>57913.55</v>
      </c>
      <c r="AJ250" s="1077">
        <f>VLOOKUP(B250,Sheet1!D$2:K$430,7,FALSE)</f>
        <v>0.5</v>
      </c>
      <c r="AK250" s="1074">
        <f>VLOOKUP(B250,Sheet1!D$2:L$430,8,FALSE)</f>
        <v>57000</v>
      </c>
      <c r="AL250" s="1109">
        <f t="shared" si="121"/>
        <v>0.5</v>
      </c>
      <c r="AM250" s="1074">
        <f t="shared" si="122"/>
        <v>59071.821000000004</v>
      </c>
      <c r="AN250" s="1085">
        <v>0</v>
      </c>
      <c r="AO250" s="1074">
        <v>0</v>
      </c>
      <c r="AP250" s="1080"/>
    </row>
    <row r="251" spans="1:42" outlineLevel="2" x14ac:dyDescent="0.2">
      <c r="A251" s="1075">
        <v>506</v>
      </c>
      <c r="B251" s="1078">
        <v>5043571</v>
      </c>
      <c r="C251" s="1075">
        <v>50435718</v>
      </c>
      <c r="D251" s="1075" t="s">
        <v>2224</v>
      </c>
      <c r="E251" s="1075" t="s">
        <v>2171</v>
      </c>
      <c r="F251" s="1075">
        <v>814000</v>
      </c>
      <c r="G251" s="1075" t="s">
        <v>2107</v>
      </c>
      <c r="H251" s="1075">
        <v>90534</v>
      </c>
      <c r="I251" s="1075">
        <v>0</v>
      </c>
      <c r="J251" s="1075">
        <v>5</v>
      </c>
      <c r="K251" s="1075">
        <v>37</v>
      </c>
      <c r="L251" s="1075">
        <v>0</v>
      </c>
      <c r="M251" s="1075" t="s">
        <v>1586</v>
      </c>
      <c r="N251" s="1075" t="s">
        <v>3181</v>
      </c>
      <c r="O251" s="1077">
        <f t="shared" si="118"/>
        <v>0.5</v>
      </c>
      <c r="P251" s="1075">
        <v>50</v>
      </c>
      <c r="Q251" s="1074">
        <v>7264.98</v>
      </c>
      <c r="R251" s="1074">
        <v>387.4</v>
      </c>
      <c r="S251" s="1074">
        <v>16.23</v>
      </c>
      <c r="T251" s="1074">
        <v>6382.65</v>
      </c>
      <c r="U251" s="1074">
        <v>0</v>
      </c>
      <c r="V251" s="1074">
        <v>0</v>
      </c>
      <c r="W251" s="1074">
        <v>0</v>
      </c>
      <c r="X251" s="1074">
        <v>0</v>
      </c>
      <c r="Y251" s="1074">
        <v>184.05</v>
      </c>
      <c r="Z251" s="1074">
        <v>0</v>
      </c>
      <c r="AA251" s="1074">
        <v>6198.6</v>
      </c>
      <c r="AB251" s="1074">
        <v>478.7</v>
      </c>
      <c r="AC251" s="1074">
        <v>0</v>
      </c>
      <c r="AD251" s="1074">
        <v>0</v>
      </c>
      <c r="AE251" s="1074">
        <v>1814000</v>
      </c>
      <c r="AF251" s="1074" t="s">
        <v>251</v>
      </c>
      <c r="AG251" s="1095">
        <f>VLOOKUP(B251,עזר!A$2:B$329,2,FALSE)</f>
        <v>49631.48</v>
      </c>
      <c r="AH251" s="1074">
        <f t="shared" si="119"/>
        <v>21794.94</v>
      </c>
      <c r="AI251" s="1074">
        <f t="shared" si="120"/>
        <v>71426.42</v>
      </c>
      <c r="AJ251" s="1077">
        <f>VLOOKUP(B251,Sheet1!D$2:K$430,7,FALSE)</f>
        <v>0.6</v>
      </c>
      <c r="AK251" s="1074">
        <f>VLOOKUP(B251,Sheet1!D$2:L$430,8,FALSE)</f>
        <v>0</v>
      </c>
      <c r="AL251" s="1109">
        <f t="shared" si="121"/>
        <v>0.5</v>
      </c>
      <c r="AM251" s="1074">
        <f t="shared" si="122"/>
        <v>72854.948399999994</v>
      </c>
      <c r="AN251" s="1085">
        <v>0</v>
      </c>
      <c r="AO251" s="1074">
        <v>0</v>
      </c>
      <c r="AP251" s="1080"/>
    </row>
    <row r="252" spans="1:42" outlineLevel="2" x14ac:dyDescent="0.2">
      <c r="A252" s="1075">
        <v>506</v>
      </c>
      <c r="B252" s="1078">
        <v>5439344</v>
      </c>
      <c r="C252" s="1075">
        <v>54393442</v>
      </c>
      <c r="D252" s="1075" t="s">
        <v>2225</v>
      </c>
      <c r="E252" s="1075" t="s">
        <v>2226</v>
      </c>
      <c r="F252" s="1075">
        <v>814000</v>
      </c>
      <c r="G252" s="1075" t="s">
        <v>2107</v>
      </c>
      <c r="H252" s="1075">
        <v>90534</v>
      </c>
      <c r="I252" s="1075">
        <v>0</v>
      </c>
      <c r="J252" s="1075">
        <v>5</v>
      </c>
      <c r="K252" s="1075">
        <v>37</v>
      </c>
      <c r="L252" s="1075">
        <v>0</v>
      </c>
      <c r="M252" s="1075" t="s">
        <v>1586</v>
      </c>
      <c r="N252" s="1075" t="s">
        <v>3181</v>
      </c>
      <c r="O252" s="1077">
        <f t="shared" si="118"/>
        <v>0.5</v>
      </c>
      <c r="P252" s="1075">
        <v>50</v>
      </c>
      <c r="Q252" s="1074">
        <v>4972.1099999999997</v>
      </c>
      <c r="R252" s="1074">
        <v>403.1</v>
      </c>
      <c r="S252" s="1074">
        <v>142.07</v>
      </c>
      <c r="T252" s="1074">
        <v>4118.09</v>
      </c>
      <c r="U252" s="1074">
        <v>0</v>
      </c>
      <c r="V252" s="1074">
        <v>0</v>
      </c>
      <c r="W252" s="1074">
        <v>0</v>
      </c>
      <c r="X252" s="1074">
        <v>0</v>
      </c>
      <c r="Y252" s="1074">
        <v>174.4</v>
      </c>
      <c r="Z252" s="1074">
        <v>0</v>
      </c>
      <c r="AA252" s="1074">
        <v>3943.69</v>
      </c>
      <c r="AB252" s="1074">
        <v>308.85000000000002</v>
      </c>
      <c r="AC252" s="1074">
        <v>0</v>
      </c>
      <c r="AD252" s="1074">
        <v>0</v>
      </c>
      <c r="AE252" s="1074">
        <v>1814000</v>
      </c>
      <c r="AF252" s="1074" t="s">
        <v>251</v>
      </c>
      <c r="AG252" s="1095">
        <f>VLOOKUP(B252,עזר!A$2:B$329,2,FALSE)</f>
        <v>50963.7</v>
      </c>
      <c r="AH252" s="1074">
        <f t="shared" si="119"/>
        <v>14916.329999999998</v>
      </c>
      <c r="AI252" s="1074">
        <f t="shared" si="120"/>
        <v>65880.03</v>
      </c>
      <c r="AJ252" s="1077">
        <f>VLOOKUP(B252,Sheet1!D$2:K$430,7,FALSE)</f>
        <v>0.5</v>
      </c>
      <c r="AK252" s="1074">
        <f>VLOOKUP(B252,Sheet1!D$2:L$430,8,FALSE)</f>
        <v>58000</v>
      </c>
      <c r="AL252" s="1109">
        <f t="shared" si="121"/>
        <v>0.5</v>
      </c>
      <c r="AM252" s="1074">
        <f t="shared" si="122"/>
        <v>67197.630600000004</v>
      </c>
      <c r="AN252" s="1085">
        <v>0</v>
      </c>
      <c r="AO252" s="1074">
        <v>0</v>
      </c>
      <c r="AP252" s="1080"/>
    </row>
    <row r="253" spans="1:42" outlineLevel="2" x14ac:dyDescent="0.2">
      <c r="A253" s="1075">
        <v>506</v>
      </c>
      <c r="B253" s="1078">
        <v>5631600</v>
      </c>
      <c r="C253" s="1075">
        <v>56316003</v>
      </c>
      <c r="D253" s="1075" t="s">
        <v>1390</v>
      </c>
      <c r="E253" s="1075" t="s">
        <v>2227</v>
      </c>
      <c r="F253" s="1075">
        <v>814000</v>
      </c>
      <c r="G253" s="1075" t="s">
        <v>2107</v>
      </c>
      <c r="H253" s="1075">
        <v>90534</v>
      </c>
      <c r="I253" s="1075">
        <v>0</v>
      </c>
      <c r="J253" s="1075">
        <v>5</v>
      </c>
      <c r="K253" s="1075">
        <v>37</v>
      </c>
      <c r="L253" s="1075">
        <v>0</v>
      </c>
      <c r="M253" s="1075" t="s">
        <v>1586</v>
      </c>
      <c r="N253" s="1075" t="s">
        <v>3181</v>
      </c>
      <c r="O253" s="1077">
        <f t="shared" si="118"/>
        <v>0.5</v>
      </c>
      <c r="P253" s="1075">
        <v>50</v>
      </c>
      <c r="Q253" s="1074">
        <v>4725.2700000000004</v>
      </c>
      <c r="R253" s="1074">
        <v>383.2</v>
      </c>
      <c r="S253" s="1074">
        <v>136.25</v>
      </c>
      <c r="T253" s="1074">
        <v>3909.62</v>
      </c>
      <c r="U253" s="1074">
        <v>0</v>
      </c>
      <c r="V253" s="1074">
        <v>0</v>
      </c>
      <c r="W253" s="1074">
        <v>0</v>
      </c>
      <c r="X253" s="1074">
        <v>0</v>
      </c>
      <c r="Y253" s="1074">
        <v>155</v>
      </c>
      <c r="Z253" s="1074">
        <v>0</v>
      </c>
      <c r="AA253" s="1074">
        <v>3754.62</v>
      </c>
      <c r="AB253" s="1074">
        <v>296.2</v>
      </c>
      <c r="AC253" s="1074">
        <v>0</v>
      </c>
      <c r="AD253" s="1074">
        <v>0</v>
      </c>
      <c r="AE253" s="1074">
        <v>1814000</v>
      </c>
      <c r="AF253" s="1074" t="s">
        <v>251</v>
      </c>
      <c r="AG253" s="1095">
        <f>VLOOKUP(B253,עזר!A$2:B$329,2,FALSE)</f>
        <v>48089.39</v>
      </c>
      <c r="AH253" s="1074">
        <f t="shared" si="119"/>
        <v>14175.810000000001</v>
      </c>
      <c r="AI253" s="1074">
        <f t="shared" si="120"/>
        <v>62265.2</v>
      </c>
      <c r="AJ253" s="1077">
        <f>VLOOKUP(B253,Sheet1!D$2:K$430,7,FALSE)</f>
        <v>0.5</v>
      </c>
      <c r="AK253" s="1074">
        <f>VLOOKUP(B253,Sheet1!D$2:L$430,8,FALSE)</f>
        <v>60000</v>
      </c>
      <c r="AL253" s="1109">
        <f t="shared" si="121"/>
        <v>0.5</v>
      </c>
      <c r="AM253" s="1074">
        <f t="shared" si="122"/>
        <v>63510.504000000001</v>
      </c>
      <c r="AN253" s="1085">
        <v>0</v>
      </c>
      <c r="AO253" s="1074">
        <v>0</v>
      </c>
      <c r="AP253" s="1080"/>
    </row>
    <row r="254" spans="1:42" outlineLevel="2" x14ac:dyDescent="0.2">
      <c r="A254" s="1075">
        <v>506</v>
      </c>
      <c r="B254" s="1075">
        <v>5763019</v>
      </c>
      <c r="C254" s="1075">
        <v>57630196</v>
      </c>
      <c r="D254" s="1075" t="s">
        <v>2328</v>
      </c>
      <c r="E254" s="1075" t="s">
        <v>2403</v>
      </c>
      <c r="F254" s="1075">
        <v>814000</v>
      </c>
      <c r="G254" s="1075" t="s">
        <v>2384</v>
      </c>
      <c r="H254" s="1075">
        <v>90534</v>
      </c>
      <c r="I254" s="1075">
        <v>1</v>
      </c>
      <c r="J254" s="1075">
        <v>0</v>
      </c>
      <c r="K254" s="1075">
        <v>0</v>
      </c>
      <c r="L254" s="1075">
        <v>0</v>
      </c>
      <c r="M254" s="1075" t="s">
        <v>1586</v>
      </c>
      <c r="N254" s="1075" t="s">
        <v>3181</v>
      </c>
      <c r="O254" s="1077">
        <v>0</v>
      </c>
      <c r="Q254" s="1074"/>
      <c r="R254" s="1074"/>
      <c r="S254" s="1074"/>
      <c r="T254" s="1074"/>
      <c r="U254" s="1074"/>
      <c r="V254" s="1074"/>
      <c r="W254" s="1074"/>
      <c r="X254" s="1074"/>
      <c r="Y254" s="1074"/>
      <c r="Z254" s="1074"/>
      <c r="AA254" s="1074"/>
      <c r="AB254" s="1074"/>
      <c r="AC254" s="1074"/>
      <c r="AD254" s="1074"/>
      <c r="AE254" s="1074"/>
      <c r="AF254" s="1074"/>
      <c r="AG254" s="1095">
        <f>VLOOKUP(B254,עזר!A$2:B$329,2,FALSE)</f>
        <v>3121.93</v>
      </c>
      <c r="AH254" s="1074">
        <f t="shared" si="119"/>
        <v>0</v>
      </c>
      <c r="AI254" s="1074">
        <f t="shared" si="120"/>
        <v>3121.93</v>
      </c>
      <c r="AJ254" s="1077">
        <v>0</v>
      </c>
      <c r="AK254" s="1074">
        <v>0</v>
      </c>
      <c r="AL254" s="1109">
        <f t="shared" si="121"/>
        <v>0</v>
      </c>
      <c r="AM254" s="1074">
        <v>0</v>
      </c>
      <c r="AN254" s="1085">
        <v>0</v>
      </c>
      <c r="AO254" s="1074">
        <v>0</v>
      </c>
      <c r="AP254" s="1080"/>
    </row>
    <row r="255" spans="1:42" outlineLevel="2" x14ac:dyDescent="0.2">
      <c r="A255" s="1075">
        <v>506</v>
      </c>
      <c r="B255" s="1078">
        <v>5897607</v>
      </c>
      <c r="C255" s="1075">
        <v>58976077</v>
      </c>
      <c r="D255" s="1075" t="s">
        <v>2208</v>
      </c>
      <c r="E255" s="1075" t="s">
        <v>2228</v>
      </c>
      <c r="F255" s="1075">
        <v>814000</v>
      </c>
      <c r="G255" s="1075" t="s">
        <v>2107</v>
      </c>
      <c r="H255" s="1075">
        <v>90534</v>
      </c>
      <c r="I255" s="1075">
        <v>0</v>
      </c>
      <c r="J255" s="1075">
        <v>5</v>
      </c>
      <c r="K255" s="1075">
        <v>7</v>
      </c>
      <c r="L255" s="1075">
        <v>0</v>
      </c>
      <c r="M255" s="1075" t="s">
        <v>1586</v>
      </c>
      <c r="N255" s="1075" t="s">
        <v>3181</v>
      </c>
      <c r="O255" s="1077">
        <f>P255/100</f>
        <v>1</v>
      </c>
      <c r="P255" s="1075">
        <v>100</v>
      </c>
      <c r="Q255" s="1074">
        <v>9121.57</v>
      </c>
      <c r="R255" s="1074">
        <v>1360.8</v>
      </c>
      <c r="S255" s="1074">
        <v>286.41000000000003</v>
      </c>
      <c r="T255" s="1074">
        <v>6952.91</v>
      </c>
      <c r="U255" s="1074">
        <v>0</v>
      </c>
      <c r="V255" s="1074">
        <v>0</v>
      </c>
      <c r="W255" s="1074">
        <v>0</v>
      </c>
      <c r="X255" s="1074">
        <v>0</v>
      </c>
      <c r="Y255" s="1074">
        <v>261.60000000000002</v>
      </c>
      <c r="Z255" s="1074">
        <v>766.5</v>
      </c>
      <c r="AA255" s="1074">
        <v>5924.81</v>
      </c>
      <c r="AB255" s="1074">
        <v>521.45000000000005</v>
      </c>
      <c r="AC255" s="1074">
        <v>0</v>
      </c>
      <c r="AD255" s="1074">
        <v>0</v>
      </c>
      <c r="AE255" s="1074">
        <v>1814000</v>
      </c>
      <c r="AF255" s="1074" t="s">
        <v>251</v>
      </c>
      <c r="AG255" s="1095">
        <f>VLOOKUP(B255,עזר!A$2:B$329,2,FALSE)</f>
        <v>82691.55</v>
      </c>
      <c r="AH255" s="1074">
        <f t="shared" si="119"/>
        <v>27364.71</v>
      </c>
      <c r="AI255" s="1074">
        <f t="shared" si="120"/>
        <v>110056.26000000001</v>
      </c>
      <c r="AJ255" s="1077">
        <f>VLOOKUP(B255,Sheet1!D$2:K$430,7,FALSE)</f>
        <v>1</v>
      </c>
      <c r="AK255" s="1074">
        <f>VLOOKUP(B255,Sheet1!D$2:L$430,8,FALSE)</f>
        <v>93000</v>
      </c>
      <c r="AL255" s="1109">
        <f t="shared" si="121"/>
        <v>1</v>
      </c>
      <c r="AM255" s="1074">
        <f t="shared" ref="AM255:AM260" si="123">AI255*1.02</f>
        <v>112257.3852</v>
      </c>
      <c r="AN255" s="1085">
        <v>0</v>
      </c>
      <c r="AO255" s="1074">
        <v>0</v>
      </c>
      <c r="AP255" s="1080"/>
    </row>
    <row r="256" spans="1:42" outlineLevel="2" x14ac:dyDescent="0.2">
      <c r="A256" s="1075">
        <v>506</v>
      </c>
      <c r="B256" s="1078">
        <v>6623133</v>
      </c>
      <c r="C256" s="1075">
        <v>66231333</v>
      </c>
      <c r="D256" s="1075" t="s">
        <v>2173</v>
      </c>
      <c r="E256" s="1075" t="s">
        <v>2229</v>
      </c>
      <c r="F256" s="1075">
        <v>814000</v>
      </c>
      <c r="G256" s="1075" t="s">
        <v>2107</v>
      </c>
      <c r="H256" s="1075">
        <v>90534</v>
      </c>
      <c r="I256" s="1075">
        <v>0</v>
      </c>
      <c r="J256" s="1075">
        <v>72</v>
      </c>
      <c r="K256" s="1075">
        <v>37</v>
      </c>
      <c r="L256" s="1075">
        <v>0</v>
      </c>
      <c r="M256" s="1075" t="s">
        <v>1586</v>
      </c>
      <c r="N256" s="1075" t="s">
        <v>3181</v>
      </c>
      <c r="O256" s="1077">
        <f>P256/100</f>
        <v>0.5</v>
      </c>
      <c r="P256" s="1075">
        <v>50</v>
      </c>
      <c r="Q256" s="1074">
        <v>4615.82</v>
      </c>
      <c r="R256" s="1074">
        <v>735.85</v>
      </c>
      <c r="S256" s="1074">
        <v>120.65</v>
      </c>
      <c r="T256" s="1074">
        <v>3497.02</v>
      </c>
      <c r="U256" s="1074">
        <v>0</v>
      </c>
      <c r="V256" s="1074">
        <v>0</v>
      </c>
      <c r="W256" s="1074">
        <v>0</v>
      </c>
      <c r="X256" s="1074">
        <v>0</v>
      </c>
      <c r="Y256" s="1074">
        <v>96.95</v>
      </c>
      <c r="Z256" s="1074">
        <v>0</v>
      </c>
      <c r="AA256" s="1074">
        <v>3400.07</v>
      </c>
      <c r="AB256" s="1074">
        <v>262.3</v>
      </c>
      <c r="AC256" s="1074">
        <v>0</v>
      </c>
      <c r="AD256" s="1074">
        <v>0</v>
      </c>
      <c r="AE256" s="1074">
        <v>1814000</v>
      </c>
      <c r="AF256" s="1074" t="s">
        <v>251</v>
      </c>
      <c r="AG256" s="1095">
        <f>VLOOKUP(B256,עזר!A$2:B$329,2,FALSE)</f>
        <v>45761.599999999999</v>
      </c>
      <c r="AH256" s="1074">
        <f t="shared" si="119"/>
        <v>13847.46</v>
      </c>
      <c r="AI256" s="1074">
        <f t="shared" si="120"/>
        <v>59609.06</v>
      </c>
      <c r="AJ256" s="1077">
        <f>VLOOKUP(B256,Sheet1!D$2:K$430,7,FALSE)</f>
        <v>0.5</v>
      </c>
      <c r="AK256" s="1074">
        <f>VLOOKUP(B256,Sheet1!D$2:L$430,8,FALSE)</f>
        <v>56000</v>
      </c>
      <c r="AL256" s="1109">
        <f t="shared" si="121"/>
        <v>0.5</v>
      </c>
      <c r="AM256" s="1074">
        <f t="shared" si="123"/>
        <v>60801.241199999997</v>
      </c>
      <c r="AN256" s="1085">
        <v>0</v>
      </c>
      <c r="AO256" s="1074">
        <v>0</v>
      </c>
      <c r="AP256" s="1080"/>
    </row>
    <row r="257" spans="1:42" outlineLevel="2" x14ac:dyDescent="0.2">
      <c r="A257" s="1075">
        <v>506</v>
      </c>
      <c r="B257" s="1078">
        <v>30137813</v>
      </c>
      <c r="C257" s="1075">
        <v>301378139</v>
      </c>
      <c r="D257" s="1075" t="s">
        <v>2230</v>
      </c>
      <c r="E257" s="1075" t="s">
        <v>2120</v>
      </c>
      <c r="F257" s="1075">
        <v>814000</v>
      </c>
      <c r="G257" s="1075" t="s">
        <v>2107</v>
      </c>
      <c r="H257" s="1075">
        <v>90534</v>
      </c>
      <c r="I257" s="1075">
        <v>1</v>
      </c>
      <c r="J257" s="1075">
        <v>0</v>
      </c>
      <c r="K257" s="1075">
        <v>0</v>
      </c>
      <c r="L257" s="1075">
        <v>0</v>
      </c>
      <c r="M257" s="1075" t="s">
        <v>1586</v>
      </c>
      <c r="N257" s="1075" t="s">
        <v>3181</v>
      </c>
      <c r="O257" s="1077">
        <f>P257/100</f>
        <v>0</v>
      </c>
      <c r="P257" s="1075">
        <v>0</v>
      </c>
      <c r="Q257" s="1074">
        <v>2600.65</v>
      </c>
      <c r="R257" s="1074">
        <v>0</v>
      </c>
      <c r="S257" s="1074">
        <v>0</v>
      </c>
      <c r="T257" s="1074">
        <v>0</v>
      </c>
      <c r="U257" s="1074">
        <v>0</v>
      </c>
      <c r="V257" s="1074">
        <v>0</v>
      </c>
      <c r="W257" s="1074">
        <v>0</v>
      </c>
      <c r="X257" s="1074">
        <v>0</v>
      </c>
      <c r="Y257" s="1074">
        <v>0</v>
      </c>
      <c r="Z257" s="1074">
        <v>0</v>
      </c>
      <c r="AA257" s="1074">
        <v>0</v>
      </c>
      <c r="AB257" s="1074">
        <v>181.45</v>
      </c>
      <c r="AC257" s="1074">
        <v>0</v>
      </c>
      <c r="AD257" s="1074">
        <v>0</v>
      </c>
      <c r="AE257" s="1074">
        <v>1814000</v>
      </c>
      <c r="AF257" s="1074" t="s">
        <v>251</v>
      </c>
      <c r="AG257" s="1095">
        <f>VLOOKUP(B257,עזר!A$2:B$329,2,FALSE)</f>
        <v>49696.82</v>
      </c>
      <c r="AH257" s="1074">
        <f t="shared" si="119"/>
        <v>7801.9500000000007</v>
      </c>
      <c r="AI257" s="1074">
        <f t="shared" si="120"/>
        <v>57498.770000000004</v>
      </c>
      <c r="AJ257" s="1077">
        <f>VLOOKUP(B257,Sheet1!D$2:K$430,7,FALSE)</f>
        <v>0.5</v>
      </c>
      <c r="AK257" s="1074">
        <f>VLOOKUP(B257,Sheet1!D$2:L$430,8,FALSE)</f>
        <v>34060</v>
      </c>
      <c r="AL257" s="1109">
        <f t="shared" si="121"/>
        <v>0</v>
      </c>
      <c r="AM257" s="1074">
        <f t="shared" si="123"/>
        <v>58648.745400000007</v>
      </c>
      <c r="AN257" s="1085">
        <f>AL257</f>
        <v>0</v>
      </c>
      <c r="AO257" s="1074">
        <v>0</v>
      </c>
      <c r="AP257" s="1080"/>
    </row>
    <row r="258" spans="1:42" outlineLevel="2" x14ac:dyDescent="0.2">
      <c r="A258" s="1075">
        <v>506</v>
      </c>
      <c r="B258" s="1078">
        <v>30529461</v>
      </c>
      <c r="C258" s="1075">
        <v>305294613</v>
      </c>
      <c r="D258" s="1075" t="s">
        <v>1390</v>
      </c>
      <c r="E258" s="1075" t="s">
        <v>2231</v>
      </c>
      <c r="F258" s="1075">
        <v>814000</v>
      </c>
      <c r="G258" s="1075" t="s">
        <v>2107</v>
      </c>
      <c r="H258" s="1075">
        <v>90534</v>
      </c>
      <c r="I258" s="1075">
        <v>1</v>
      </c>
      <c r="J258" s="1075">
        <v>0</v>
      </c>
      <c r="K258" s="1075">
        <v>0</v>
      </c>
      <c r="L258" s="1075">
        <v>0</v>
      </c>
      <c r="M258" s="1075" t="s">
        <v>1586</v>
      </c>
      <c r="N258" s="1075" t="s">
        <v>3181</v>
      </c>
      <c r="O258" s="1077">
        <f>P258/100</f>
        <v>0</v>
      </c>
      <c r="P258" s="1075">
        <v>0</v>
      </c>
      <c r="Q258" s="1074">
        <v>4711.8</v>
      </c>
      <c r="R258" s="1074">
        <v>722.55</v>
      </c>
      <c r="S258" s="1074">
        <v>124.05</v>
      </c>
      <c r="T258" s="1074">
        <v>3595.55</v>
      </c>
      <c r="U258" s="1074">
        <v>0</v>
      </c>
      <c r="V258" s="1074">
        <v>0</v>
      </c>
      <c r="W258" s="1074">
        <v>0</v>
      </c>
      <c r="X258" s="1074">
        <v>0</v>
      </c>
      <c r="Y258" s="1074">
        <v>154.9</v>
      </c>
      <c r="Z258" s="1074">
        <v>0</v>
      </c>
      <c r="AA258" s="1074">
        <v>3440.65</v>
      </c>
      <c r="AB258" s="1074">
        <v>269.64999999999998</v>
      </c>
      <c r="AC258" s="1074">
        <v>0</v>
      </c>
      <c r="AD258" s="1074">
        <v>0</v>
      </c>
      <c r="AE258" s="1074">
        <v>1814000</v>
      </c>
      <c r="AF258" s="1074" t="s">
        <v>251</v>
      </c>
      <c r="AG258" s="1095">
        <f>VLOOKUP(B258,עזר!A$2:B$329,2,FALSE)</f>
        <v>32276.68</v>
      </c>
      <c r="AH258" s="1074">
        <f t="shared" si="119"/>
        <v>14135.400000000001</v>
      </c>
      <c r="AI258" s="1074">
        <f t="shared" si="120"/>
        <v>46412.08</v>
      </c>
      <c r="AJ258" s="1077">
        <v>0</v>
      </c>
      <c r="AK258" s="1074">
        <v>0</v>
      </c>
      <c r="AL258" s="1109">
        <f t="shared" si="121"/>
        <v>0</v>
      </c>
      <c r="AM258" s="1074">
        <f t="shared" si="123"/>
        <v>47340.321600000003</v>
      </c>
      <c r="AN258" s="1085">
        <f>AL258</f>
        <v>0</v>
      </c>
      <c r="AO258" s="1074">
        <v>0</v>
      </c>
      <c r="AP258" s="1080"/>
    </row>
    <row r="259" spans="1:42" outlineLevel="2" x14ac:dyDescent="0.2">
      <c r="A259" s="1075">
        <v>506</v>
      </c>
      <c r="B259" s="1078">
        <v>2824827</v>
      </c>
      <c r="C259" s="1075">
        <v>28248276</v>
      </c>
      <c r="D259" s="1075" t="s">
        <v>1600</v>
      </c>
      <c r="E259" s="1075" t="s">
        <v>2352</v>
      </c>
      <c r="F259" s="1075">
        <v>814000</v>
      </c>
      <c r="M259" s="1075" t="s">
        <v>1586</v>
      </c>
      <c r="N259" s="1075" t="s">
        <v>3181</v>
      </c>
      <c r="O259" s="1077">
        <v>0</v>
      </c>
      <c r="Q259" s="1074">
        <v>0</v>
      </c>
      <c r="R259" s="1074"/>
      <c r="S259" s="1074"/>
      <c r="T259" s="1074"/>
      <c r="U259" s="1074"/>
      <c r="V259" s="1074"/>
      <c r="W259" s="1074"/>
      <c r="X259" s="1074"/>
      <c r="Y259" s="1074"/>
      <c r="Z259" s="1074"/>
      <c r="AA259" s="1074"/>
      <c r="AB259" s="1074"/>
      <c r="AC259" s="1074"/>
      <c r="AD259" s="1074"/>
      <c r="AE259" s="1074"/>
      <c r="AF259" s="1074"/>
      <c r="AG259" s="1095">
        <v>0</v>
      </c>
      <c r="AH259" s="1074">
        <f t="shared" si="119"/>
        <v>0</v>
      </c>
      <c r="AI259" s="1074">
        <v>0</v>
      </c>
      <c r="AJ259" s="1077">
        <v>1</v>
      </c>
      <c r="AK259" s="1074">
        <v>97000</v>
      </c>
      <c r="AL259" s="1109">
        <f t="shared" si="121"/>
        <v>0</v>
      </c>
      <c r="AM259" s="1074">
        <f t="shared" si="123"/>
        <v>0</v>
      </c>
      <c r="AN259" s="1085">
        <f>AL259</f>
        <v>0</v>
      </c>
      <c r="AO259" s="1074">
        <f>AM259</f>
        <v>0</v>
      </c>
      <c r="AP259" s="1080"/>
    </row>
    <row r="260" spans="1:42" outlineLevel="2" x14ac:dyDescent="0.2">
      <c r="A260" s="1075">
        <v>506</v>
      </c>
      <c r="B260" s="1078">
        <v>5581774</v>
      </c>
      <c r="C260" s="1075">
        <v>55817746</v>
      </c>
      <c r="D260" s="1075" t="s">
        <v>2190</v>
      </c>
      <c r="E260" s="1075" t="s">
        <v>2289</v>
      </c>
      <c r="F260" s="1075">
        <v>814000</v>
      </c>
      <c r="M260" s="1075" t="s">
        <v>1586</v>
      </c>
      <c r="N260" s="1075" t="s">
        <v>3181</v>
      </c>
      <c r="O260" s="1077">
        <v>0</v>
      </c>
      <c r="Q260" s="1074">
        <v>0</v>
      </c>
      <c r="R260" s="1074"/>
      <c r="S260" s="1074"/>
      <c r="T260" s="1074"/>
      <c r="U260" s="1074"/>
      <c r="V260" s="1074"/>
      <c r="W260" s="1074"/>
      <c r="X260" s="1074"/>
      <c r="Y260" s="1074"/>
      <c r="Z260" s="1074"/>
      <c r="AA260" s="1074"/>
      <c r="AB260" s="1074"/>
      <c r="AC260" s="1074"/>
      <c r="AD260" s="1074"/>
      <c r="AE260" s="1074"/>
      <c r="AF260" s="1074"/>
      <c r="AG260" s="1095">
        <v>0</v>
      </c>
      <c r="AH260" s="1074">
        <f t="shared" si="119"/>
        <v>0</v>
      </c>
      <c r="AI260" s="1074">
        <v>0</v>
      </c>
      <c r="AJ260" s="1077">
        <v>0.5</v>
      </c>
      <c r="AK260" s="1074">
        <v>53722</v>
      </c>
      <c r="AL260" s="1109">
        <f t="shared" si="121"/>
        <v>0</v>
      </c>
      <c r="AM260" s="1074">
        <f t="shared" si="123"/>
        <v>0</v>
      </c>
      <c r="AN260" s="1085">
        <f>AL260</f>
        <v>0</v>
      </c>
      <c r="AO260" s="1074">
        <f>AM260</f>
        <v>0</v>
      </c>
      <c r="AP260" s="1080"/>
    </row>
    <row r="261" spans="1:42" outlineLevel="1" x14ac:dyDescent="0.2">
      <c r="B261" s="1078"/>
      <c r="F261" s="1088" t="s">
        <v>3113</v>
      </c>
      <c r="O261" s="1077">
        <f>SUBTOTAL(9,O244:O260)</f>
        <v>5.68</v>
      </c>
      <c r="Q261" s="1074">
        <f>SUBTOTAL(9,Q244:Q260)</f>
        <v>72849.119999999995</v>
      </c>
      <c r="R261" s="1074"/>
      <c r="S261" s="1074"/>
      <c r="T261" s="1074"/>
      <c r="U261" s="1074"/>
      <c r="V261" s="1074"/>
      <c r="W261" s="1074"/>
      <c r="X261" s="1074"/>
      <c r="Y261" s="1074"/>
      <c r="Z261" s="1074"/>
      <c r="AA261" s="1074"/>
      <c r="AB261" s="1074"/>
      <c r="AC261" s="1074"/>
      <c r="AD261" s="1074"/>
      <c r="AE261" s="1074"/>
      <c r="AF261" s="1074"/>
      <c r="AG261" s="1095">
        <f t="shared" ref="AG261:AM261" si="124">SUBTOTAL(9,AG244:AG260)</f>
        <v>683691.03</v>
      </c>
      <c r="AH261" s="1074">
        <f t="shared" si="124"/>
        <v>218547.36</v>
      </c>
      <c r="AI261" s="1074">
        <f t="shared" si="124"/>
        <v>902238.39</v>
      </c>
      <c r="AJ261" s="1077">
        <f t="shared" si="124"/>
        <v>8.6999999999999993</v>
      </c>
      <c r="AK261" s="1074">
        <f t="shared" si="124"/>
        <v>832056</v>
      </c>
      <c r="AL261" s="1109">
        <f t="shared" si="124"/>
        <v>5.68</v>
      </c>
      <c r="AM261" s="1074">
        <f t="shared" si="124"/>
        <v>870516.71519999998</v>
      </c>
      <c r="AP261" s="1080">
        <f>SUBTOTAL(9,AP244:AP260)</f>
        <v>0</v>
      </c>
    </row>
    <row r="262" spans="1:42" outlineLevel="2" x14ac:dyDescent="0.2">
      <c r="A262" s="1075">
        <v>506</v>
      </c>
      <c r="B262" s="1075">
        <v>2650713</v>
      </c>
      <c r="C262" s="1075">
        <v>26507137</v>
      </c>
      <c r="D262" s="1075" t="s">
        <v>2173</v>
      </c>
      <c r="E262" s="1075" t="s">
        <v>2404</v>
      </c>
      <c r="F262" s="1075">
        <v>815200</v>
      </c>
      <c r="G262" s="1075" t="s">
        <v>2384</v>
      </c>
      <c r="H262" s="1075">
        <v>90534</v>
      </c>
      <c r="I262" s="1075">
        <v>0</v>
      </c>
      <c r="J262" s="1075">
        <v>73</v>
      </c>
      <c r="K262" s="1075">
        <v>3</v>
      </c>
      <c r="L262" s="1075">
        <v>0</v>
      </c>
      <c r="M262" s="1075" t="s">
        <v>1230</v>
      </c>
      <c r="N262" s="1075" t="s">
        <v>1230</v>
      </c>
      <c r="O262" s="1077">
        <f>129.6/900</f>
        <v>0.14399999999999999</v>
      </c>
      <c r="Q262" s="1074">
        <v>0</v>
      </c>
      <c r="R262" s="1074"/>
      <c r="S262" s="1074"/>
      <c r="T262" s="1074"/>
      <c r="U262" s="1074"/>
      <c r="V262" s="1074"/>
      <c r="W262" s="1074"/>
      <c r="X262" s="1074"/>
      <c r="Y262" s="1074"/>
      <c r="Z262" s="1074"/>
      <c r="AA262" s="1074"/>
      <c r="AB262" s="1074"/>
      <c r="AC262" s="1074"/>
      <c r="AD262" s="1074"/>
      <c r="AE262" s="1074"/>
      <c r="AF262" s="1074"/>
      <c r="AG262" s="1095">
        <f>VLOOKUP(B262,עזר!A$2:B$329,2,FALSE)</f>
        <v>8905.52</v>
      </c>
      <c r="AH262" s="1074">
        <f t="shared" ref="AH262:AH282" si="125">Q262*3</f>
        <v>0</v>
      </c>
      <c r="AI262" s="1074">
        <f t="shared" ref="AI262:AI282" si="126">AH262+AG262</f>
        <v>8905.52</v>
      </c>
      <c r="AJ262" s="1077">
        <v>0</v>
      </c>
      <c r="AK262" s="1074">
        <v>0</v>
      </c>
      <c r="AL262" s="1109">
        <v>0</v>
      </c>
      <c r="AM262" s="1074">
        <v>0</v>
      </c>
      <c r="AN262" s="1085">
        <f t="shared" ref="AN262:AN283" si="127">AL262</f>
        <v>0</v>
      </c>
      <c r="AO262" s="1074">
        <f t="shared" ref="AO262:AO283" si="128">AM262</f>
        <v>0</v>
      </c>
      <c r="AP262" s="1080"/>
    </row>
    <row r="263" spans="1:42" outlineLevel="2" x14ac:dyDescent="0.2">
      <c r="A263" s="1075">
        <v>506</v>
      </c>
      <c r="B263" s="1075">
        <v>2750570</v>
      </c>
      <c r="C263" s="1075">
        <v>27505700</v>
      </c>
      <c r="D263" s="1075" t="s">
        <v>2173</v>
      </c>
      <c r="E263" s="1075" t="s">
        <v>2227</v>
      </c>
      <c r="F263" s="1075">
        <v>815200</v>
      </c>
      <c r="G263" s="1075" t="s">
        <v>2384</v>
      </c>
      <c r="H263" s="1075">
        <v>90534</v>
      </c>
      <c r="I263" s="1075">
        <v>0</v>
      </c>
      <c r="J263" s="1075">
        <v>73</v>
      </c>
      <c r="K263" s="1075">
        <v>3</v>
      </c>
      <c r="L263" s="1075">
        <v>0</v>
      </c>
      <c r="M263" s="1075" t="s">
        <v>1230</v>
      </c>
      <c r="N263" s="1075" t="s">
        <v>1230</v>
      </c>
      <c r="O263" s="1077">
        <f>469.6/900</f>
        <v>0.52177777777777778</v>
      </c>
      <c r="Q263" s="1074">
        <v>0</v>
      </c>
      <c r="R263" s="1074"/>
      <c r="S263" s="1074"/>
      <c r="T263" s="1074"/>
      <c r="U263" s="1074"/>
      <c r="V263" s="1074"/>
      <c r="W263" s="1074"/>
      <c r="X263" s="1074"/>
      <c r="Y263" s="1074"/>
      <c r="Z263" s="1074"/>
      <c r="AA263" s="1074"/>
      <c r="AB263" s="1074"/>
      <c r="AC263" s="1074"/>
      <c r="AD263" s="1074"/>
      <c r="AE263" s="1074"/>
      <c r="AF263" s="1074"/>
      <c r="AG263" s="1095">
        <f>VLOOKUP(B263,עזר!A$2:B$329,2,FALSE)</f>
        <v>33648.75</v>
      </c>
      <c r="AH263" s="1074">
        <f t="shared" si="125"/>
        <v>0</v>
      </c>
      <c r="AI263" s="1074">
        <f t="shared" si="126"/>
        <v>33648.75</v>
      </c>
      <c r="AJ263" s="1077">
        <v>0</v>
      </c>
      <c r="AK263" s="1074">
        <v>0</v>
      </c>
      <c r="AL263" s="1109">
        <v>0</v>
      </c>
      <c r="AM263" s="1074">
        <v>0</v>
      </c>
      <c r="AN263" s="1085">
        <f t="shared" si="127"/>
        <v>0</v>
      </c>
      <c r="AO263" s="1074">
        <f t="shared" si="128"/>
        <v>0</v>
      </c>
      <c r="AP263" s="1080"/>
    </row>
    <row r="264" spans="1:42" outlineLevel="2" x14ac:dyDescent="0.2">
      <c r="A264" s="1075">
        <v>506</v>
      </c>
      <c r="B264" s="1075">
        <v>2767306</v>
      </c>
      <c r="C264" s="1075">
        <v>27673060</v>
      </c>
      <c r="D264" s="1075" t="s">
        <v>2111</v>
      </c>
      <c r="E264" s="1075" t="s">
        <v>2405</v>
      </c>
      <c r="F264" s="1075">
        <v>815200</v>
      </c>
      <c r="G264" s="1075" t="s">
        <v>2384</v>
      </c>
      <c r="H264" s="1075">
        <v>90534</v>
      </c>
      <c r="I264" s="1075">
        <v>0</v>
      </c>
      <c r="J264" s="1075">
        <v>93</v>
      </c>
      <c r="K264" s="1075">
        <v>2</v>
      </c>
      <c r="L264" s="1075">
        <v>0</v>
      </c>
      <c r="M264" s="1075" t="s">
        <v>1230</v>
      </c>
      <c r="N264" s="1075" t="s">
        <v>1230</v>
      </c>
      <c r="O264" s="1077">
        <f>652.2/900</f>
        <v>0.72466666666666668</v>
      </c>
      <c r="Q264" s="1074">
        <v>0</v>
      </c>
      <c r="R264" s="1074"/>
      <c r="S264" s="1074"/>
      <c r="T264" s="1074"/>
      <c r="U264" s="1074"/>
      <c r="V264" s="1074"/>
      <c r="W264" s="1074"/>
      <c r="X264" s="1074"/>
      <c r="Y264" s="1074"/>
      <c r="Z264" s="1074"/>
      <c r="AA264" s="1074"/>
      <c r="AB264" s="1074"/>
      <c r="AC264" s="1074"/>
      <c r="AD264" s="1074"/>
      <c r="AE264" s="1074"/>
      <c r="AF264" s="1074"/>
      <c r="AG264" s="1095">
        <f>VLOOKUP(B264,עזר!A$2:B$329,2,FALSE)</f>
        <v>66505.37</v>
      </c>
      <c r="AH264" s="1074">
        <f t="shared" si="125"/>
        <v>0</v>
      </c>
      <c r="AI264" s="1074">
        <f t="shared" si="126"/>
        <v>66505.37</v>
      </c>
      <c r="AJ264" s="1077">
        <v>0</v>
      </c>
      <c r="AK264" s="1074">
        <v>0</v>
      </c>
      <c r="AL264" s="1109">
        <v>0</v>
      </c>
      <c r="AM264" s="1074">
        <v>0</v>
      </c>
      <c r="AN264" s="1085">
        <f t="shared" si="127"/>
        <v>0</v>
      </c>
      <c r="AO264" s="1074">
        <f t="shared" si="128"/>
        <v>0</v>
      </c>
      <c r="AP264" s="1080"/>
    </row>
    <row r="265" spans="1:42" outlineLevel="2" x14ac:dyDescent="0.2">
      <c r="A265" s="1075">
        <v>506</v>
      </c>
      <c r="B265" s="1075">
        <v>3686096</v>
      </c>
      <c r="C265" s="1075">
        <v>36860963</v>
      </c>
      <c r="D265" s="1075" t="s">
        <v>2406</v>
      </c>
      <c r="E265" s="1075" t="s">
        <v>2120</v>
      </c>
      <c r="F265" s="1075">
        <v>815200</v>
      </c>
      <c r="G265" s="1075" t="s">
        <v>2384</v>
      </c>
      <c r="H265" s="1075">
        <v>90534</v>
      </c>
      <c r="I265" s="1075">
        <v>0</v>
      </c>
      <c r="J265" s="1075">
        <v>93</v>
      </c>
      <c r="K265" s="1075">
        <v>1</v>
      </c>
      <c r="L265" s="1075">
        <v>0</v>
      </c>
      <c r="M265" s="1075" t="s">
        <v>1230</v>
      </c>
      <c r="N265" s="1075" t="s">
        <v>1230</v>
      </c>
      <c r="O265" s="1077">
        <f>269.6/900</f>
        <v>0.29955555555555557</v>
      </c>
      <c r="Q265" s="1074">
        <v>0</v>
      </c>
      <c r="R265" s="1074"/>
      <c r="S265" s="1074"/>
      <c r="T265" s="1074"/>
      <c r="U265" s="1074"/>
      <c r="V265" s="1074"/>
      <c r="W265" s="1074"/>
      <c r="X265" s="1074"/>
      <c r="Y265" s="1074"/>
      <c r="Z265" s="1074"/>
      <c r="AA265" s="1074"/>
      <c r="AB265" s="1074"/>
      <c r="AC265" s="1074"/>
      <c r="AD265" s="1074"/>
      <c r="AE265" s="1074"/>
      <c r="AF265" s="1074"/>
      <c r="AG265" s="1095">
        <f>VLOOKUP(B265,עזר!A$2:B$329,2,FALSE)</f>
        <v>28968.01</v>
      </c>
      <c r="AH265" s="1074">
        <f t="shared" si="125"/>
        <v>0</v>
      </c>
      <c r="AI265" s="1074">
        <f t="shared" si="126"/>
        <v>28968.01</v>
      </c>
      <c r="AJ265" s="1077">
        <v>0</v>
      </c>
      <c r="AK265" s="1074">
        <v>0</v>
      </c>
      <c r="AL265" s="1109">
        <v>0</v>
      </c>
      <c r="AM265" s="1074">
        <v>0</v>
      </c>
      <c r="AN265" s="1085">
        <f t="shared" si="127"/>
        <v>0</v>
      </c>
      <c r="AO265" s="1074">
        <f t="shared" si="128"/>
        <v>0</v>
      </c>
      <c r="AP265" s="1080"/>
    </row>
    <row r="266" spans="1:42" outlineLevel="2" x14ac:dyDescent="0.2">
      <c r="A266" s="1075">
        <v>506</v>
      </c>
      <c r="B266" s="1075">
        <v>4049682</v>
      </c>
      <c r="C266" s="1075">
        <v>40496820</v>
      </c>
      <c r="D266" s="1075" t="s">
        <v>2407</v>
      </c>
      <c r="E266" s="1075" t="s">
        <v>2408</v>
      </c>
      <c r="F266" s="1075">
        <v>815200</v>
      </c>
      <c r="G266" s="1075" t="s">
        <v>2384</v>
      </c>
      <c r="H266" s="1075">
        <v>90534</v>
      </c>
      <c r="I266" s="1075">
        <v>0</v>
      </c>
      <c r="J266" s="1075">
        <v>93</v>
      </c>
      <c r="K266" s="1075">
        <v>1</v>
      </c>
      <c r="L266" s="1075">
        <v>0</v>
      </c>
      <c r="M266" s="1075" t="s">
        <v>1230</v>
      </c>
      <c r="N266" s="1075" t="s">
        <v>1230</v>
      </c>
      <c r="O266" s="1077">
        <f>1000/900</f>
        <v>1.1111111111111112</v>
      </c>
      <c r="Q266" s="1074">
        <v>0</v>
      </c>
      <c r="R266" s="1074"/>
      <c r="S266" s="1074"/>
      <c r="T266" s="1074"/>
      <c r="U266" s="1074"/>
      <c r="V266" s="1074"/>
      <c r="W266" s="1074"/>
      <c r="X266" s="1074"/>
      <c r="Y266" s="1074"/>
      <c r="Z266" s="1074"/>
      <c r="AA266" s="1074"/>
      <c r="AB266" s="1074"/>
      <c r="AC266" s="1074"/>
      <c r="AD266" s="1074"/>
      <c r="AE266" s="1074"/>
      <c r="AF266" s="1074"/>
      <c r="AG266" s="1095">
        <f>VLOOKUP(B266,עזר!A$2:B$329,2,FALSE)</f>
        <v>205653.45</v>
      </c>
      <c r="AH266" s="1074">
        <f t="shared" si="125"/>
        <v>0</v>
      </c>
      <c r="AI266" s="1074">
        <f t="shared" si="126"/>
        <v>205653.45</v>
      </c>
      <c r="AJ266" s="1077">
        <v>0</v>
      </c>
      <c r="AK266" s="1074">
        <v>0</v>
      </c>
      <c r="AL266" s="1109">
        <v>0</v>
      </c>
      <c r="AM266" s="1074">
        <v>0</v>
      </c>
      <c r="AN266" s="1085">
        <f t="shared" si="127"/>
        <v>0</v>
      </c>
      <c r="AO266" s="1074">
        <f t="shared" si="128"/>
        <v>0</v>
      </c>
      <c r="AP266" s="1080"/>
    </row>
    <row r="267" spans="1:42" outlineLevel="2" x14ac:dyDescent="0.2">
      <c r="A267" s="1075">
        <v>506</v>
      </c>
      <c r="B267" s="1075">
        <v>4051702</v>
      </c>
      <c r="C267" s="1075">
        <v>40517021</v>
      </c>
      <c r="D267" s="1075" t="s">
        <v>2283</v>
      </c>
      <c r="E267" s="1075" t="s">
        <v>2319</v>
      </c>
      <c r="F267" s="1075">
        <v>815200</v>
      </c>
      <c r="G267" s="1075" t="s">
        <v>2384</v>
      </c>
      <c r="H267" s="1075">
        <v>90534</v>
      </c>
      <c r="I267" s="1075">
        <v>0</v>
      </c>
      <c r="J267" s="1075">
        <v>73</v>
      </c>
      <c r="K267" s="1075">
        <v>2</v>
      </c>
      <c r="L267" s="1075">
        <v>0</v>
      </c>
      <c r="M267" s="1075" t="s">
        <v>1230</v>
      </c>
      <c r="N267" s="1075" t="s">
        <v>1230</v>
      </c>
      <c r="O267" s="1077">
        <f>200/900</f>
        <v>0.22222222222222221</v>
      </c>
      <c r="Q267" s="1074">
        <v>0</v>
      </c>
      <c r="R267" s="1074"/>
      <c r="S267" s="1074"/>
      <c r="T267" s="1074"/>
      <c r="U267" s="1074"/>
      <c r="V267" s="1074"/>
      <c r="W267" s="1074"/>
      <c r="X267" s="1074"/>
      <c r="Y267" s="1074"/>
      <c r="Z267" s="1074"/>
      <c r="AA267" s="1074"/>
      <c r="AB267" s="1074"/>
      <c r="AC267" s="1074"/>
      <c r="AD267" s="1074"/>
      <c r="AE267" s="1074"/>
      <c r="AF267" s="1074"/>
      <c r="AG267" s="1095">
        <f>VLOOKUP(B267,עזר!A$2:B$329,2,FALSE)</f>
        <v>16154.83</v>
      </c>
      <c r="AH267" s="1074">
        <f t="shared" si="125"/>
        <v>0</v>
      </c>
      <c r="AI267" s="1074">
        <f t="shared" si="126"/>
        <v>16154.83</v>
      </c>
      <c r="AJ267" s="1077">
        <v>0</v>
      </c>
      <c r="AK267" s="1074">
        <v>0</v>
      </c>
      <c r="AL267" s="1109">
        <v>0</v>
      </c>
      <c r="AM267" s="1074">
        <v>0</v>
      </c>
      <c r="AN267" s="1085">
        <f t="shared" si="127"/>
        <v>0</v>
      </c>
      <c r="AO267" s="1074">
        <f t="shared" si="128"/>
        <v>0</v>
      </c>
      <c r="AP267" s="1080"/>
    </row>
    <row r="268" spans="1:42" outlineLevel="2" x14ac:dyDescent="0.2">
      <c r="A268" s="1075">
        <v>506</v>
      </c>
      <c r="B268" s="1075">
        <v>4054830</v>
      </c>
      <c r="C268" s="1075">
        <v>40548307</v>
      </c>
      <c r="D268" s="1075" t="s">
        <v>1709</v>
      </c>
      <c r="E268" s="1075" t="s">
        <v>2409</v>
      </c>
      <c r="F268" s="1075">
        <v>815200</v>
      </c>
      <c r="G268" s="1075" t="s">
        <v>2384</v>
      </c>
      <c r="H268" s="1075">
        <v>90534</v>
      </c>
      <c r="I268" s="1075">
        <v>0</v>
      </c>
      <c r="J268" s="1075">
        <v>93</v>
      </c>
      <c r="K268" s="1075">
        <v>2</v>
      </c>
      <c r="L268" s="1075">
        <v>0</v>
      </c>
      <c r="M268" s="1075" t="s">
        <v>1230</v>
      </c>
      <c r="N268" s="1075" t="s">
        <v>1230</v>
      </c>
      <c r="O268" s="1077">
        <f>443.5/900</f>
        <v>0.49277777777777776</v>
      </c>
      <c r="Q268" s="1074">
        <v>0</v>
      </c>
      <c r="R268" s="1074"/>
      <c r="S268" s="1074"/>
      <c r="T268" s="1074"/>
      <c r="U268" s="1074"/>
      <c r="V268" s="1074"/>
      <c r="W268" s="1074"/>
      <c r="X268" s="1074"/>
      <c r="Y268" s="1074"/>
      <c r="Z268" s="1074"/>
      <c r="AA268" s="1074"/>
      <c r="AB268" s="1074"/>
      <c r="AC268" s="1074"/>
      <c r="AD268" s="1074"/>
      <c r="AE268" s="1074"/>
      <c r="AF268" s="1074"/>
      <c r="AG268" s="1095">
        <f>VLOOKUP(B268,עזר!A$2:B$329,2,FALSE)</f>
        <v>31219.33</v>
      </c>
      <c r="AH268" s="1074">
        <f t="shared" si="125"/>
        <v>0</v>
      </c>
      <c r="AI268" s="1074">
        <f t="shared" si="126"/>
        <v>31219.33</v>
      </c>
      <c r="AJ268" s="1077">
        <v>0</v>
      </c>
      <c r="AK268" s="1074">
        <v>0</v>
      </c>
      <c r="AL268" s="1109">
        <v>0</v>
      </c>
      <c r="AM268" s="1074">
        <v>0</v>
      </c>
      <c r="AN268" s="1085">
        <f t="shared" si="127"/>
        <v>0</v>
      </c>
      <c r="AO268" s="1074">
        <f t="shared" si="128"/>
        <v>0</v>
      </c>
      <c r="AP268" s="1080"/>
    </row>
    <row r="269" spans="1:42" outlineLevel="2" x14ac:dyDescent="0.2">
      <c r="A269" s="1075">
        <v>506</v>
      </c>
      <c r="B269" s="1075">
        <v>4170763</v>
      </c>
      <c r="C269" s="1075">
        <v>41707639</v>
      </c>
      <c r="D269" s="1075" t="s">
        <v>1419</v>
      </c>
      <c r="E269" s="1075" t="s">
        <v>2120</v>
      </c>
      <c r="F269" s="1075">
        <v>815200</v>
      </c>
      <c r="G269" s="1075" t="s">
        <v>2384</v>
      </c>
      <c r="H269" s="1075">
        <v>90534</v>
      </c>
      <c r="I269" s="1075">
        <v>0</v>
      </c>
      <c r="J269" s="1075">
        <v>93</v>
      </c>
      <c r="K269" s="1075">
        <v>2</v>
      </c>
      <c r="L269" s="1075">
        <v>0</v>
      </c>
      <c r="M269" s="1075" t="s">
        <v>1230</v>
      </c>
      <c r="N269" s="1075" t="s">
        <v>1230</v>
      </c>
      <c r="O269" s="1077">
        <f>400/900</f>
        <v>0.44444444444444442</v>
      </c>
      <c r="Q269" s="1074">
        <v>0</v>
      </c>
      <c r="R269" s="1074"/>
      <c r="S269" s="1074"/>
      <c r="T269" s="1074"/>
      <c r="U269" s="1074"/>
      <c r="V269" s="1074"/>
      <c r="W269" s="1074"/>
      <c r="X269" s="1074"/>
      <c r="Y269" s="1074"/>
      <c r="Z269" s="1074"/>
      <c r="AA269" s="1074"/>
      <c r="AB269" s="1074"/>
      <c r="AC269" s="1074"/>
      <c r="AD269" s="1074"/>
      <c r="AE269" s="1074"/>
      <c r="AF269" s="1074"/>
      <c r="AG269" s="1095">
        <f>VLOOKUP(B269,עזר!A$2:B$329,2,FALSE)</f>
        <v>46583.360000000001</v>
      </c>
      <c r="AH269" s="1074">
        <f t="shared" si="125"/>
        <v>0</v>
      </c>
      <c r="AI269" s="1074">
        <f t="shared" si="126"/>
        <v>46583.360000000001</v>
      </c>
      <c r="AJ269" s="1077">
        <v>0</v>
      </c>
      <c r="AK269" s="1074">
        <v>0</v>
      </c>
      <c r="AL269" s="1109">
        <v>0</v>
      </c>
      <c r="AM269" s="1074">
        <v>0</v>
      </c>
      <c r="AN269" s="1085">
        <f t="shared" si="127"/>
        <v>0</v>
      </c>
      <c r="AO269" s="1074">
        <f t="shared" si="128"/>
        <v>0</v>
      </c>
      <c r="AP269" s="1080"/>
    </row>
    <row r="270" spans="1:42" outlineLevel="2" x14ac:dyDescent="0.2">
      <c r="A270" s="1075">
        <v>506</v>
      </c>
      <c r="B270" s="1075">
        <v>5688074</v>
      </c>
      <c r="C270" s="1075">
        <v>56880743</v>
      </c>
      <c r="D270" s="1075" t="s">
        <v>2164</v>
      </c>
      <c r="E270" s="1075" t="s">
        <v>2197</v>
      </c>
      <c r="F270" s="1075">
        <v>815200</v>
      </c>
      <c r="G270" s="1075" t="s">
        <v>2384</v>
      </c>
      <c r="H270" s="1075">
        <v>90534</v>
      </c>
      <c r="I270" s="1075">
        <v>0</v>
      </c>
      <c r="J270" s="1075">
        <v>93</v>
      </c>
      <c r="K270" s="1075">
        <v>1</v>
      </c>
      <c r="L270" s="1075">
        <v>0</v>
      </c>
      <c r="M270" s="1075" t="s">
        <v>1230</v>
      </c>
      <c r="N270" s="1075" t="s">
        <v>1230</v>
      </c>
      <c r="O270" s="1077">
        <f>269.6/900</f>
        <v>0.29955555555555557</v>
      </c>
      <c r="Q270" s="1074">
        <v>0</v>
      </c>
      <c r="R270" s="1074"/>
      <c r="S270" s="1074"/>
      <c r="T270" s="1074"/>
      <c r="U270" s="1074"/>
      <c r="V270" s="1074"/>
      <c r="W270" s="1074"/>
      <c r="X270" s="1074"/>
      <c r="Y270" s="1074"/>
      <c r="Z270" s="1074"/>
      <c r="AA270" s="1074"/>
      <c r="AB270" s="1074"/>
      <c r="AC270" s="1074"/>
      <c r="AD270" s="1074"/>
      <c r="AE270" s="1074"/>
      <c r="AF270" s="1074"/>
      <c r="AG270" s="1095">
        <f>VLOOKUP(B270,עזר!A$2:B$329,2,FALSE)</f>
        <v>46754.92</v>
      </c>
      <c r="AH270" s="1074">
        <f t="shared" si="125"/>
        <v>0</v>
      </c>
      <c r="AI270" s="1074">
        <f t="shared" si="126"/>
        <v>46754.92</v>
      </c>
      <c r="AJ270" s="1077">
        <v>0</v>
      </c>
      <c r="AK270" s="1074">
        <v>0</v>
      </c>
      <c r="AL270" s="1109">
        <v>0</v>
      </c>
      <c r="AM270" s="1074">
        <v>0</v>
      </c>
      <c r="AN270" s="1085">
        <f t="shared" si="127"/>
        <v>0</v>
      </c>
      <c r="AO270" s="1074">
        <f t="shared" si="128"/>
        <v>0</v>
      </c>
      <c r="AP270" s="1080"/>
    </row>
    <row r="271" spans="1:42" outlineLevel="2" x14ac:dyDescent="0.2">
      <c r="A271" s="1075">
        <v>506</v>
      </c>
      <c r="B271" s="1075">
        <v>6670746</v>
      </c>
      <c r="C271" s="1075">
        <v>66707464</v>
      </c>
      <c r="D271" s="1075" t="s">
        <v>2111</v>
      </c>
      <c r="E271" s="1075" t="s">
        <v>2223</v>
      </c>
      <c r="F271" s="1075">
        <v>815200</v>
      </c>
      <c r="G271" s="1075" t="s">
        <v>2384</v>
      </c>
      <c r="H271" s="1075">
        <v>90534</v>
      </c>
      <c r="I271" s="1075">
        <v>0</v>
      </c>
      <c r="J271" s="1075">
        <v>93</v>
      </c>
      <c r="K271" s="1075">
        <v>2</v>
      </c>
      <c r="L271" s="1075">
        <v>0</v>
      </c>
      <c r="M271" s="1075" t="s">
        <v>1230</v>
      </c>
      <c r="N271" s="1075" t="s">
        <v>1230</v>
      </c>
      <c r="O271" s="1077">
        <f>231/900</f>
        <v>0.25666666666666665</v>
      </c>
      <c r="Q271" s="1074">
        <v>0</v>
      </c>
      <c r="R271" s="1074"/>
      <c r="S271" s="1074"/>
      <c r="T271" s="1074"/>
      <c r="U271" s="1074"/>
      <c r="V271" s="1074"/>
      <c r="W271" s="1074"/>
      <c r="X271" s="1074"/>
      <c r="Y271" s="1074"/>
      <c r="Z271" s="1074"/>
      <c r="AA271" s="1074"/>
      <c r="AB271" s="1074"/>
      <c r="AC271" s="1074"/>
      <c r="AD271" s="1074"/>
      <c r="AE271" s="1074"/>
      <c r="AF271" s="1074"/>
      <c r="AG271" s="1095">
        <f>VLOOKUP(B271,עזר!A$2:B$329,2,FALSE)</f>
        <v>19981.29</v>
      </c>
      <c r="AH271" s="1074">
        <f t="shared" si="125"/>
        <v>0</v>
      </c>
      <c r="AI271" s="1074">
        <f t="shared" si="126"/>
        <v>19981.29</v>
      </c>
      <c r="AJ271" s="1077">
        <v>0</v>
      </c>
      <c r="AK271" s="1074">
        <v>0</v>
      </c>
      <c r="AL271" s="1109">
        <v>0</v>
      </c>
      <c r="AM271" s="1074">
        <v>0</v>
      </c>
      <c r="AN271" s="1085">
        <f t="shared" si="127"/>
        <v>0</v>
      </c>
      <c r="AO271" s="1074">
        <f t="shared" si="128"/>
        <v>0</v>
      </c>
      <c r="AP271" s="1080"/>
    </row>
    <row r="272" spans="1:42" outlineLevel="2" x14ac:dyDescent="0.2">
      <c r="A272" s="1075">
        <v>506</v>
      </c>
      <c r="B272" s="1075">
        <v>20056779</v>
      </c>
      <c r="C272" s="1075">
        <v>200567790</v>
      </c>
      <c r="D272" s="1075" t="s">
        <v>2410</v>
      </c>
      <c r="E272" s="1075" t="s">
        <v>2156</v>
      </c>
      <c r="F272" s="1075">
        <v>815200</v>
      </c>
      <c r="G272" s="1075" t="s">
        <v>2384</v>
      </c>
      <c r="H272" s="1075">
        <v>90534</v>
      </c>
      <c r="I272" s="1075">
        <v>0</v>
      </c>
      <c r="J272" s="1075">
        <v>93</v>
      </c>
      <c r="K272" s="1075">
        <v>2</v>
      </c>
      <c r="L272" s="1075">
        <v>0</v>
      </c>
      <c r="M272" s="1075" t="s">
        <v>1230</v>
      </c>
      <c r="N272" s="1075" t="s">
        <v>1230</v>
      </c>
      <c r="O272" s="1077">
        <f>329.6/900</f>
        <v>0.36622222222222223</v>
      </c>
      <c r="Q272" s="1074">
        <v>0</v>
      </c>
      <c r="R272" s="1074"/>
      <c r="S272" s="1074"/>
      <c r="T272" s="1074"/>
      <c r="U272" s="1074"/>
      <c r="V272" s="1074"/>
      <c r="W272" s="1074"/>
      <c r="X272" s="1074"/>
      <c r="Y272" s="1074"/>
      <c r="Z272" s="1074"/>
      <c r="AA272" s="1074"/>
      <c r="AB272" s="1074"/>
      <c r="AC272" s="1074"/>
      <c r="AD272" s="1074"/>
      <c r="AE272" s="1074"/>
      <c r="AF272" s="1074"/>
      <c r="AG272" s="1095">
        <f>VLOOKUP(B272,עזר!A$2:B$329,2,FALSE)</f>
        <v>27623.26</v>
      </c>
      <c r="AH272" s="1074">
        <f t="shared" si="125"/>
        <v>0</v>
      </c>
      <c r="AI272" s="1074">
        <f t="shared" si="126"/>
        <v>27623.26</v>
      </c>
      <c r="AJ272" s="1077">
        <v>0</v>
      </c>
      <c r="AK272" s="1074">
        <v>0</v>
      </c>
      <c r="AL272" s="1109">
        <v>0</v>
      </c>
      <c r="AM272" s="1074">
        <v>0</v>
      </c>
      <c r="AN272" s="1085">
        <f t="shared" si="127"/>
        <v>0</v>
      </c>
      <c r="AO272" s="1074">
        <f t="shared" si="128"/>
        <v>0</v>
      </c>
      <c r="AP272" s="1080"/>
    </row>
    <row r="273" spans="1:42" outlineLevel="2" x14ac:dyDescent="0.2">
      <c r="A273" s="1075">
        <v>506</v>
      </c>
      <c r="B273" s="1075">
        <v>20077265</v>
      </c>
      <c r="C273" s="1075">
        <v>200772655</v>
      </c>
      <c r="D273" s="1075" t="s">
        <v>2131</v>
      </c>
      <c r="E273" s="1075" t="s">
        <v>2214</v>
      </c>
      <c r="F273" s="1075">
        <v>815200</v>
      </c>
      <c r="G273" s="1075" t="s">
        <v>2384</v>
      </c>
      <c r="H273" s="1075">
        <v>90534</v>
      </c>
      <c r="I273" s="1075">
        <v>0</v>
      </c>
      <c r="J273" s="1075">
        <v>73</v>
      </c>
      <c r="K273" s="1075">
        <v>2</v>
      </c>
      <c r="L273" s="1075">
        <v>0</v>
      </c>
      <c r="M273" s="1075" t="s">
        <v>1230</v>
      </c>
      <c r="N273" s="1075" t="s">
        <v>1230</v>
      </c>
      <c r="O273" s="1077">
        <f>175/900</f>
        <v>0.19444444444444445</v>
      </c>
      <c r="Q273" s="1074">
        <v>0</v>
      </c>
      <c r="R273" s="1074"/>
      <c r="S273" s="1074"/>
      <c r="T273" s="1074"/>
      <c r="U273" s="1074"/>
      <c r="V273" s="1074"/>
      <c r="W273" s="1074"/>
      <c r="X273" s="1074"/>
      <c r="Y273" s="1074"/>
      <c r="Z273" s="1074"/>
      <c r="AA273" s="1074"/>
      <c r="AB273" s="1074"/>
      <c r="AC273" s="1074"/>
      <c r="AD273" s="1074"/>
      <c r="AE273" s="1074"/>
      <c r="AF273" s="1074"/>
      <c r="AG273" s="1095">
        <f>VLOOKUP(B273,עזר!A$2:B$329,2,FALSE)</f>
        <v>13650.39</v>
      </c>
      <c r="AH273" s="1074">
        <f t="shared" si="125"/>
        <v>0</v>
      </c>
      <c r="AI273" s="1074">
        <f t="shared" si="126"/>
        <v>13650.39</v>
      </c>
      <c r="AJ273" s="1077">
        <v>0</v>
      </c>
      <c r="AK273" s="1074">
        <v>0</v>
      </c>
      <c r="AL273" s="1109">
        <v>0</v>
      </c>
      <c r="AM273" s="1074">
        <v>0</v>
      </c>
      <c r="AN273" s="1085">
        <f t="shared" si="127"/>
        <v>0</v>
      </c>
      <c r="AO273" s="1074">
        <f t="shared" si="128"/>
        <v>0</v>
      </c>
      <c r="AP273" s="1080"/>
    </row>
    <row r="274" spans="1:42" outlineLevel="2" x14ac:dyDescent="0.2">
      <c r="A274" s="1075">
        <v>506</v>
      </c>
      <c r="B274" s="1075">
        <v>20416636</v>
      </c>
      <c r="C274" s="1075">
        <v>204166367</v>
      </c>
      <c r="D274" s="1075" t="s">
        <v>2411</v>
      </c>
      <c r="E274" s="1075" t="s">
        <v>2412</v>
      </c>
      <c r="F274" s="1075">
        <v>815200</v>
      </c>
      <c r="G274" s="1075" t="s">
        <v>2384</v>
      </c>
      <c r="H274" s="1075">
        <v>90534</v>
      </c>
      <c r="I274" s="1075">
        <v>0</v>
      </c>
      <c r="J274" s="1075">
        <v>93</v>
      </c>
      <c r="K274" s="1075">
        <v>2</v>
      </c>
      <c r="L274" s="1075">
        <v>0</v>
      </c>
      <c r="M274" s="1075" t="s">
        <v>1230</v>
      </c>
      <c r="N274" s="1075" t="s">
        <v>1230</v>
      </c>
      <c r="O274" s="1077">
        <f>529.6/900</f>
        <v>0.58844444444444444</v>
      </c>
      <c r="Q274" s="1074">
        <v>0</v>
      </c>
      <c r="R274" s="1074"/>
      <c r="S274" s="1074"/>
      <c r="T274" s="1074"/>
      <c r="U274" s="1074"/>
      <c r="V274" s="1074"/>
      <c r="W274" s="1074"/>
      <c r="X274" s="1074"/>
      <c r="Y274" s="1074"/>
      <c r="Z274" s="1074"/>
      <c r="AA274" s="1074"/>
      <c r="AB274" s="1074"/>
      <c r="AC274" s="1074"/>
      <c r="AD274" s="1074"/>
      <c r="AE274" s="1074"/>
      <c r="AF274" s="1074"/>
      <c r="AG274" s="1095">
        <f>VLOOKUP(B274,עזר!A$2:B$329,2,FALSE)</f>
        <v>48942.57</v>
      </c>
      <c r="AH274" s="1074">
        <f t="shared" si="125"/>
        <v>0</v>
      </c>
      <c r="AI274" s="1074">
        <f t="shared" si="126"/>
        <v>48942.57</v>
      </c>
      <c r="AJ274" s="1077">
        <v>0</v>
      </c>
      <c r="AK274" s="1074">
        <v>0</v>
      </c>
      <c r="AL274" s="1109">
        <v>0</v>
      </c>
      <c r="AM274" s="1074">
        <v>0</v>
      </c>
      <c r="AN274" s="1085">
        <f t="shared" si="127"/>
        <v>0</v>
      </c>
      <c r="AO274" s="1074">
        <f t="shared" si="128"/>
        <v>0</v>
      </c>
      <c r="AP274" s="1080"/>
    </row>
    <row r="275" spans="1:42" outlineLevel="2" x14ac:dyDescent="0.2">
      <c r="A275" s="1075">
        <v>506</v>
      </c>
      <c r="B275" s="1075">
        <v>20438475</v>
      </c>
      <c r="C275" s="1075">
        <v>204384754</v>
      </c>
      <c r="D275" s="1075" t="s">
        <v>2173</v>
      </c>
      <c r="E275" s="1075" t="s">
        <v>2413</v>
      </c>
      <c r="F275" s="1075">
        <v>815200</v>
      </c>
      <c r="G275" s="1075" t="s">
        <v>2384</v>
      </c>
      <c r="H275" s="1075">
        <v>90534</v>
      </c>
      <c r="I275" s="1075">
        <v>0</v>
      </c>
      <c r="J275" s="1075">
        <v>73</v>
      </c>
      <c r="K275" s="1075">
        <v>3</v>
      </c>
      <c r="L275" s="1075">
        <v>0</v>
      </c>
      <c r="M275" s="1075" t="s">
        <v>1230</v>
      </c>
      <c r="N275" s="1075" t="s">
        <v>1230</v>
      </c>
      <c r="O275" s="1077">
        <f>129.6/900</f>
        <v>0.14399999999999999</v>
      </c>
      <c r="Q275" s="1074">
        <v>0</v>
      </c>
      <c r="R275" s="1074"/>
      <c r="S275" s="1074"/>
      <c r="T275" s="1074"/>
      <c r="U275" s="1074"/>
      <c r="V275" s="1074"/>
      <c r="W275" s="1074"/>
      <c r="X275" s="1074"/>
      <c r="Y275" s="1074"/>
      <c r="Z275" s="1074"/>
      <c r="AA275" s="1074"/>
      <c r="AB275" s="1074"/>
      <c r="AC275" s="1074"/>
      <c r="AD275" s="1074"/>
      <c r="AE275" s="1074"/>
      <c r="AF275" s="1074"/>
      <c r="AG275" s="1095">
        <f>VLOOKUP(B275,עזר!A$2:B$329,2,FALSE)</f>
        <v>8818.48</v>
      </c>
      <c r="AH275" s="1074">
        <f t="shared" si="125"/>
        <v>0</v>
      </c>
      <c r="AI275" s="1074">
        <f t="shared" si="126"/>
        <v>8818.48</v>
      </c>
      <c r="AJ275" s="1077">
        <v>0</v>
      </c>
      <c r="AK275" s="1074">
        <v>0</v>
      </c>
      <c r="AL275" s="1109">
        <v>0</v>
      </c>
      <c r="AM275" s="1074">
        <v>0</v>
      </c>
      <c r="AN275" s="1085">
        <f t="shared" si="127"/>
        <v>0</v>
      </c>
      <c r="AO275" s="1074">
        <f t="shared" si="128"/>
        <v>0</v>
      </c>
      <c r="AP275" s="1080"/>
    </row>
    <row r="276" spans="1:42" outlineLevel="2" x14ac:dyDescent="0.2">
      <c r="A276" s="1075">
        <v>506</v>
      </c>
      <c r="B276" s="1075">
        <v>20439570</v>
      </c>
      <c r="C276" s="1075">
        <v>204395701</v>
      </c>
      <c r="D276" s="1075" t="s">
        <v>2131</v>
      </c>
      <c r="E276" s="1075" t="s">
        <v>1118</v>
      </c>
      <c r="F276" s="1075">
        <v>815200</v>
      </c>
      <c r="G276" s="1075" t="s">
        <v>2384</v>
      </c>
      <c r="H276" s="1075">
        <v>90534</v>
      </c>
      <c r="I276" s="1075">
        <v>0</v>
      </c>
      <c r="J276" s="1075">
        <v>93</v>
      </c>
      <c r="K276" s="1075">
        <v>2</v>
      </c>
      <c r="L276" s="1075">
        <v>0</v>
      </c>
      <c r="M276" s="1075" t="s">
        <v>1230</v>
      </c>
      <c r="N276" s="1075" t="s">
        <v>1230</v>
      </c>
      <c r="O276" s="1077">
        <f>529.6/900</f>
        <v>0.58844444444444444</v>
      </c>
      <c r="Q276" s="1074">
        <v>0</v>
      </c>
      <c r="R276" s="1074"/>
      <c r="S276" s="1074"/>
      <c r="T276" s="1074"/>
      <c r="U276" s="1074"/>
      <c r="V276" s="1074"/>
      <c r="W276" s="1074"/>
      <c r="X276" s="1074"/>
      <c r="Y276" s="1074"/>
      <c r="Z276" s="1074"/>
      <c r="AA276" s="1074"/>
      <c r="AB276" s="1074"/>
      <c r="AC276" s="1074"/>
      <c r="AD276" s="1074"/>
      <c r="AE276" s="1074"/>
      <c r="AF276" s="1074"/>
      <c r="AG276" s="1095">
        <f>VLOOKUP(B276,עזר!A$2:B$329,2,FALSE)</f>
        <v>52439.500000000007</v>
      </c>
      <c r="AH276" s="1074">
        <f t="shared" si="125"/>
        <v>0</v>
      </c>
      <c r="AI276" s="1074">
        <f t="shared" si="126"/>
        <v>52439.500000000007</v>
      </c>
      <c r="AJ276" s="1077">
        <v>0</v>
      </c>
      <c r="AK276" s="1074">
        <v>0</v>
      </c>
      <c r="AL276" s="1109">
        <v>0</v>
      </c>
      <c r="AM276" s="1074">
        <v>0</v>
      </c>
      <c r="AN276" s="1085">
        <f t="shared" si="127"/>
        <v>0</v>
      </c>
      <c r="AO276" s="1074">
        <f t="shared" si="128"/>
        <v>0</v>
      </c>
      <c r="AP276" s="1080"/>
    </row>
    <row r="277" spans="1:42" outlineLevel="2" x14ac:dyDescent="0.2">
      <c r="A277" s="1075">
        <v>506</v>
      </c>
      <c r="B277" s="1075">
        <v>20467774</v>
      </c>
      <c r="C277" s="1075">
        <v>204677744</v>
      </c>
      <c r="D277" s="1075" t="s">
        <v>2173</v>
      </c>
      <c r="E277" s="1075" t="s">
        <v>2414</v>
      </c>
      <c r="F277" s="1075">
        <v>815200</v>
      </c>
      <c r="G277" s="1075" t="s">
        <v>2384</v>
      </c>
      <c r="H277" s="1075">
        <v>90534</v>
      </c>
      <c r="I277" s="1075">
        <v>0</v>
      </c>
      <c r="J277" s="1075">
        <v>73</v>
      </c>
      <c r="K277" s="1075">
        <v>3</v>
      </c>
      <c r="L277" s="1075">
        <v>0</v>
      </c>
      <c r="M277" s="1075" t="s">
        <v>1230</v>
      </c>
      <c r="N277" s="1075" t="s">
        <v>1230</v>
      </c>
      <c r="O277" s="1077">
        <f>129.6/900</f>
        <v>0.14399999999999999</v>
      </c>
      <c r="Q277" s="1074">
        <v>0</v>
      </c>
      <c r="R277" s="1074"/>
      <c r="S277" s="1074"/>
      <c r="T277" s="1074"/>
      <c r="U277" s="1074"/>
      <c r="V277" s="1074"/>
      <c r="W277" s="1074"/>
      <c r="X277" s="1074"/>
      <c r="Y277" s="1074"/>
      <c r="Z277" s="1074"/>
      <c r="AA277" s="1074"/>
      <c r="AB277" s="1074"/>
      <c r="AC277" s="1074"/>
      <c r="AD277" s="1074"/>
      <c r="AE277" s="1074"/>
      <c r="AF277" s="1074"/>
      <c r="AG277" s="1095">
        <f>VLOOKUP(B277,עזר!A$2:B$329,2,FALSE)</f>
        <v>9678.4500000000007</v>
      </c>
      <c r="AH277" s="1074">
        <f t="shared" si="125"/>
        <v>0</v>
      </c>
      <c r="AI277" s="1074">
        <f t="shared" si="126"/>
        <v>9678.4500000000007</v>
      </c>
      <c r="AJ277" s="1077">
        <v>0</v>
      </c>
      <c r="AK277" s="1074">
        <v>0</v>
      </c>
      <c r="AL277" s="1109">
        <v>0</v>
      </c>
      <c r="AM277" s="1074">
        <v>0</v>
      </c>
      <c r="AN277" s="1085">
        <f t="shared" si="127"/>
        <v>0</v>
      </c>
      <c r="AO277" s="1074">
        <f t="shared" si="128"/>
        <v>0</v>
      </c>
      <c r="AP277" s="1080"/>
    </row>
    <row r="278" spans="1:42" outlineLevel="2" x14ac:dyDescent="0.2">
      <c r="A278" s="1075">
        <v>506</v>
      </c>
      <c r="B278" s="1075">
        <v>30128112</v>
      </c>
      <c r="C278" s="1075">
        <v>301281127</v>
      </c>
      <c r="D278" s="1075" t="s">
        <v>1390</v>
      </c>
      <c r="E278" s="1075" t="s">
        <v>2126</v>
      </c>
      <c r="F278" s="1075">
        <v>815200</v>
      </c>
      <c r="G278" s="1075" t="s">
        <v>2384</v>
      </c>
      <c r="H278" s="1075">
        <v>90534</v>
      </c>
      <c r="I278" s="1075">
        <v>0</v>
      </c>
      <c r="J278" s="1075">
        <v>73</v>
      </c>
      <c r="K278" s="1075">
        <v>1</v>
      </c>
      <c r="L278" s="1075">
        <v>0</v>
      </c>
      <c r="M278" s="1075" t="s">
        <v>1230</v>
      </c>
      <c r="N278" s="1075" t="s">
        <v>1230</v>
      </c>
      <c r="O278" s="1077">
        <f>33.7/900</f>
        <v>3.7444444444444447E-2</v>
      </c>
      <c r="Q278" s="1074">
        <v>0</v>
      </c>
      <c r="R278" s="1074"/>
      <c r="S278" s="1074"/>
      <c r="T278" s="1074"/>
      <c r="U278" s="1074"/>
      <c r="V278" s="1074"/>
      <c r="W278" s="1074"/>
      <c r="X278" s="1074"/>
      <c r="Y278" s="1074"/>
      <c r="Z278" s="1074"/>
      <c r="AA278" s="1074"/>
      <c r="AB278" s="1074"/>
      <c r="AC278" s="1074"/>
      <c r="AD278" s="1074"/>
      <c r="AE278" s="1074"/>
      <c r="AF278" s="1074"/>
      <c r="AG278" s="1095">
        <f>VLOOKUP(B278,עזר!A$2:B$329,2,FALSE)</f>
        <v>2337.0700000000002</v>
      </c>
      <c r="AH278" s="1074">
        <f t="shared" si="125"/>
        <v>0</v>
      </c>
      <c r="AI278" s="1074">
        <f t="shared" si="126"/>
        <v>2337.0700000000002</v>
      </c>
      <c r="AJ278" s="1077">
        <v>0</v>
      </c>
      <c r="AK278" s="1074">
        <v>0</v>
      </c>
      <c r="AL278" s="1109">
        <v>0</v>
      </c>
      <c r="AM278" s="1074">
        <v>0</v>
      </c>
      <c r="AN278" s="1085">
        <f t="shared" si="127"/>
        <v>0</v>
      </c>
      <c r="AO278" s="1074">
        <f t="shared" si="128"/>
        <v>0</v>
      </c>
      <c r="AP278" s="1080"/>
    </row>
    <row r="279" spans="1:42" outlineLevel="2" x14ac:dyDescent="0.2">
      <c r="A279" s="1075">
        <v>506</v>
      </c>
      <c r="B279" s="1075">
        <v>30154519</v>
      </c>
      <c r="C279" s="1075">
        <v>301545190</v>
      </c>
      <c r="D279" s="1075" t="s">
        <v>2415</v>
      </c>
      <c r="E279" s="1075" t="s">
        <v>2161</v>
      </c>
      <c r="F279" s="1075">
        <v>815200</v>
      </c>
      <c r="G279" s="1075" t="s">
        <v>2384</v>
      </c>
      <c r="H279" s="1075">
        <v>90534</v>
      </c>
      <c r="I279" s="1075">
        <v>0</v>
      </c>
      <c r="J279" s="1075">
        <v>93</v>
      </c>
      <c r="K279" s="1075">
        <v>2</v>
      </c>
      <c r="L279" s="1075">
        <v>0</v>
      </c>
      <c r="M279" s="1075" t="s">
        <v>1230</v>
      </c>
      <c r="N279" s="1075" t="s">
        <v>1230</v>
      </c>
      <c r="O279" s="1077">
        <f>400/900</f>
        <v>0.44444444444444442</v>
      </c>
      <c r="Q279" s="1074">
        <v>0</v>
      </c>
      <c r="R279" s="1074"/>
      <c r="S279" s="1074"/>
      <c r="T279" s="1074"/>
      <c r="U279" s="1074"/>
      <c r="V279" s="1074"/>
      <c r="W279" s="1074"/>
      <c r="X279" s="1074"/>
      <c r="Y279" s="1074"/>
      <c r="Z279" s="1074"/>
      <c r="AA279" s="1074"/>
      <c r="AB279" s="1074"/>
      <c r="AC279" s="1074"/>
      <c r="AD279" s="1074"/>
      <c r="AE279" s="1074"/>
      <c r="AF279" s="1074"/>
      <c r="AG279" s="1095">
        <f>VLOOKUP(B279,עזר!A$2:B$329,2,FALSE)</f>
        <v>38173.800000000003</v>
      </c>
      <c r="AH279" s="1074">
        <f t="shared" si="125"/>
        <v>0</v>
      </c>
      <c r="AI279" s="1074">
        <f t="shared" si="126"/>
        <v>38173.800000000003</v>
      </c>
      <c r="AJ279" s="1077">
        <v>0</v>
      </c>
      <c r="AK279" s="1074">
        <v>0</v>
      </c>
      <c r="AL279" s="1109">
        <v>0</v>
      </c>
      <c r="AM279" s="1074">
        <v>0</v>
      </c>
      <c r="AN279" s="1085">
        <f t="shared" si="127"/>
        <v>0</v>
      </c>
      <c r="AO279" s="1074">
        <f t="shared" si="128"/>
        <v>0</v>
      </c>
      <c r="AP279" s="1080"/>
    </row>
    <row r="280" spans="1:42" outlineLevel="2" x14ac:dyDescent="0.2">
      <c r="A280" s="1075">
        <v>506</v>
      </c>
      <c r="B280" s="1075">
        <v>30169103</v>
      </c>
      <c r="C280" s="1075">
        <v>301691036</v>
      </c>
      <c r="D280" s="1075" t="s">
        <v>1390</v>
      </c>
      <c r="E280" s="1075" t="s">
        <v>2416</v>
      </c>
      <c r="F280" s="1075">
        <v>815200</v>
      </c>
      <c r="G280" s="1075" t="s">
        <v>2384</v>
      </c>
      <c r="H280" s="1075">
        <v>90534</v>
      </c>
      <c r="I280" s="1075">
        <v>0</v>
      </c>
      <c r="J280" s="1075">
        <v>73</v>
      </c>
      <c r="K280" s="1075">
        <v>1</v>
      </c>
      <c r="L280" s="1075">
        <v>0</v>
      </c>
      <c r="M280" s="1075" t="s">
        <v>1230</v>
      </c>
      <c r="N280" s="1075" t="s">
        <v>1230</v>
      </c>
      <c r="O280" s="1077">
        <f>669.6/900</f>
        <v>0.74399999999999999</v>
      </c>
      <c r="Q280" s="1074">
        <v>0</v>
      </c>
      <c r="R280" s="1074"/>
      <c r="S280" s="1074"/>
      <c r="T280" s="1074"/>
      <c r="U280" s="1074"/>
      <c r="V280" s="1074"/>
      <c r="W280" s="1074"/>
      <c r="X280" s="1074"/>
      <c r="Y280" s="1074"/>
      <c r="Z280" s="1074"/>
      <c r="AA280" s="1074"/>
      <c r="AB280" s="1074"/>
      <c r="AC280" s="1074"/>
      <c r="AD280" s="1074"/>
      <c r="AE280" s="1074"/>
      <c r="AF280" s="1074"/>
      <c r="AG280" s="1095">
        <f>VLOOKUP(B280,עזר!A$2:B$329,2,FALSE)</f>
        <v>53097.71</v>
      </c>
      <c r="AH280" s="1074">
        <f t="shared" si="125"/>
        <v>0</v>
      </c>
      <c r="AI280" s="1074">
        <f t="shared" si="126"/>
        <v>53097.71</v>
      </c>
      <c r="AJ280" s="1077">
        <v>0</v>
      </c>
      <c r="AK280" s="1074">
        <v>0</v>
      </c>
      <c r="AL280" s="1109">
        <v>0</v>
      </c>
      <c r="AM280" s="1074">
        <v>0</v>
      </c>
      <c r="AN280" s="1085">
        <f t="shared" si="127"/>
        <v>0</v>
      </c>
      <c r="AO280" s="1074">
        <f t="shared" si="128"/>
        <v>0</v>
      </c>
      <c r="AP280" s="1080"/>
    </row>
    <row r="281" spans="1:42" outlineLevel="2" x14ac:dyDescent="0.2">
      <c r="A281" s="1075">
        <v>506</v>
      </c>
      <c r="B281" s="1075">
        <v>30282635</v>
      </c>
      <c r="C281" s="1075">
        <v>302826359</v>
      </c>
      <c r="D281" s="1075" t="s">
        <v>2417</v>
      </c>
      <c r="E281" s="1075" t="s">
        <v>2130</v>
      </c>
      <c r="F281" s="1075">
        <v>815200</v>
      </c>
      <c r="G281" s="1075" t="s">
        <v>2384</v>
      </c>
      <c r="H281" s="1075">
        <v>90534</v>
      </c>
      <c r="I281" s="1075">
        <v>0</v>
      </c>
      <c r="J281" s="1075">
        <v>93</v>
      </c>
      <c r="K281" s="1075">
        <v>2</v>
      </c>
      <c r="L281" s="1075">
        <v>0</v>
      </c>
      <c r="M281" s="1075" t="s">
        <v>1230</v>
      </c>
      <c r="N281" s="1075" t="s">
        <v>1230</v>
      </c>
      <c r="O281" s="1077">
        <f>569.6/900</f>
        <v>0.63288888888888895</v>
      </c>
      <c r="Q281" s="1074">
        <v>0</v>
      </c>
      <c r="R281" s="1074"/>
      <c r="S281" s="1074"/>
      <c r="T281" s="1074"/>
      <c r="U281" s="1074"/>
      <c r="V281" s="1074"/>
      <c r="W281" s="1074"/>
      <c r="X281" s="1074"/>
      <c r="Y281" s="1074"/>
      <c r="Z281" s="1074"/>
      <c r="AA281" s="1074"/>
      <c r="AB281" s="1074"/>
      <c r="AC281" s="1074"/>
      <c r="AD281" s="1074"/>
      <c r="AE281" s="1074"/>
      <c r="AF281" s="1074"/>
      <c r="AG281" s="1095">
        <f>VLOOKUP(B281,עזר!A$2:B$329,2,FALSE)</f>
        <v>44633</v>
      </c>
      <c r="AH281" s="1074">
        <f t="shared" si="125"/>
        <v>0</v>
      </c>
      <c r="AI281" s="1074">
        <f t="shared" si="126"/>
        <v>44633</v>
      </c>
      <c r="AJ281" s="1077">
        <v>0</v>
      </c>
      <c r="AK281" s="1074">
        <v>0</v>
      </c>
      <c r="AL281" s="1109">
        <v>0</v>
      </c>
      <c r="AM281" s="1074">
        <v>0</v>
      </c>
      <c r="AN281" s="1085">
        <f t="shared" si="127"/>
        <v>0</v>
      </c>
      <c r="AO281" s="1074">
        <f t="shared" si="128"/>
        <v>0</v>
      </c>
      <c r="AP281" s="1080"/>
    </row>
    <row r="282" spans="1:42" outlineLevel="2" x14ac:dyDescent="0.2">
      <c r="A282" s="1075">
        <v>506</v>
      </c>
      <c r="B282" s="1075">
        <v>31257635</v>
      </c>
      <c r="C282" s="1075">
        <v>312576358</v>
      </c>
      <c r="D282" s="1075" t="s">
        <v>2173</v>
      </c>
      <c r="E282" s="1075" t="s">
        <v>2418</v>
      </c>
      <c r="F282" s="1075">
        <v>815200</v>
      </c>
      <c r="G282" s="1075" t="s">
        <v>2384</v>
      </c>
      <c r="H282" s="1075">
        <v>90534</v>
      </c>
      <c r="I282" s="1075">
        <v>0</v>
      </c>
      <c r="J282" s="1075">
        <v>73</v>
      </c>
      <c r="K282" s="1075">
        <v>3</v>
      </c>
      <c r="L282" s="1075">
        <v>0</v>
      </c>
      <c r="M282" s="1075" t="s">
        <v>1230</v>
      </c>
      <c r="N282" s="1075" t="s">
        <v>1230</v>
      </c>
      <c r="O282" s="1077">
        <f>469.6/900</f>
        <v>0.52177777777777778</v>
      </c>
      <c r="Q282" s="1074">
        <v>0</v>
      </c>
      <c r="R282" s="1074"/>
      <c r="S282" s="1074"/>
      <c r="T282" s="1074"/>
      <c r="U282" s="1074"/>
      <c r="V282" s="1074"/>
      <c r="W282" s="1074"/>
      <c r="X282" s="1074"/>
      <c r="Y282" s="1074"/>
      <c r="Z282" s="1074"/>
      <c r="AA282" s="1074"/>
      <c r="AB282" s="1074"/>
      <c r="AC282" s="1074"/>
      <c r="AD282" s="1074"/>
      <c r="AE282" s="1074"/>
      <c r="AF282" s="1074"/>
      <c r="AG282" s="1095">
        <f>VLOOKUP(B282,עזר!A$2:B$329,2,FALSE)</f>
        <v>31400.33</v>
      </c>
      <c r="AH282" s="1074">
        <f t="shared" si="125"/>
        <v>0</v>
      </c>
      <c r="AI282" s="1074">
        <f t="shared" si="126"/>
        <v>31400.33</v>
      </c>
      <c r="AJ282" s="1077">
        <v>0</v>
      </c>
      <c r="AK282" s="1074">
        <v>0</v>
      </c>
      <c r="AL282" s="1109">
        <v>0</v>
      </c>
      <c r="AM282" s="1074">
        <v>0</v>
      </c>
      <c r="AN282" s="1085">
        <f t="shared" si="127"/>
        <v>0</v>
      </c>
      <c r="AO282" s="1074">
        <f t="shared" si="128"/>
        <v>0</v>
      </c>
      <c r="AP282" s="1080"/>
    </row>
    <row r="283" spans="1:42" outlineLevel="2" x14ac:dyDescent="0.2">
      <c r="A283" s="1075">
        <v>506</v>
      </c>
      <c r="B283" s="1078">
        <v>999999</v>
      </c>
      <c r="C283" s="1075">
        <v>999999</v>
      </c>
      <c r="D283" s="1075" t="s">
        <v>2785</v>
      </c>
      <c r="E283" s="1075" t="s">
        <v>1509</v>
      </c>
      <c r="F283" s="1075">
        <v>815200</v>
      </c>
      <c r="M283" s="1075" t="s">
        <v>1230</v>
      </c>
      <c r="N283" s="1075" t="s">
        <v>1230</v>
      </c>
      <c r="O283" s="1077">
        <v>0</v>
      </c>
      <c r="Q283" s="1085">
        <v>0</v>
      </c>
      <c r="R283" s="1085"/>
      <c r="S283" s="1085"/>
      <c r="T283" s="1085"/>
      <c r="U283" s="1085"/>
      <c r="V283" s="1085"/>
      <c r="W283" s="1085"/>
      <c r="X283" s="1085"/>
      <c r="Y283" s="1085"/>
      <c r="Z283" s="1085"/>
      <c r="AA283" s="1085"/>
      <c r="AB283" s="1085"/>
      <c r="AC283" s="1085"/>
      <c r="AD283" s="1085"/>
      <c r="AE283" s="1085"/>
      <c r="AF283" s="1085"/>
      <c r="AG283" s="1096">
        <v>0</v>
      </c>
      <c r="AH283" s="1085">
        <v>0</v>
      </c>
      <c r="AI283" s="1085">
        <v>0</v>
      </c>
      <c r="AK283" s="1074">
        <v>800000</v>
      </c>
      <c r="AL283" s="1109">
        <f>O283</f>
        <v>0</v>
      </c>
      <c r="AM283" s="1074">
        <f>AI283*1.02</f>
        <v>0</v>
      </c>
      <c r="AN283" s="1085">
        <f t="shared" si="127"/>
        <v>0</v>
      </c>
      <c r="AO283" s="1074">
        <f t="shared" si="128"/>
        <v>0</v>
      </c>
      <c r="AP283" s="1080"/>
    </row>
    <row r="284" spans="1:42" outlineLevel="1" x14ac:dyDescent="0.2">
      <c r="B284" s="1078"/>
      <c r="F284" s="1088" t="s">
        <v>3114</v>
      </c>
      <c r="O284" s="1077">
        <f>SUBTOTAL(9,O262:O283)</f>
        <v>8.9228888888888918</v>
      </c>
      <c r="Q284" s="1085">
        <f>SUBTOTAL(9,Q262:Q283)</f>
        <v>0</v>
      </c>
      <c r="R284" s="1085"/>
      <c r="S284" s="1085"/>
      <c r="T284" s="1085"/>
      <c r="U284" s="1085"/>
      <c r="V284" s="1085"/>
      <c r="W284" s="1085"/>
      <c r="X284" s="1085"/>
      <c r="Y284" s="1085"/>
      <c r="Z284" s="1085"/>
      <c r="AA284" s="1085"/>
      <c r="AB284" s="1085"/>
      <c r="AC284" s="1085"/>
      <c r="AD284" s="1085"/>
      <c r="AE284" s="1085"/>
      <c r="AF284" s="1085"/>
      <c r="AG284" s="1096">
        <f t="shared" ref="AG284:AM284" si="129">SUBTOTAL(9,AG262:AG283)</f>
        <v>835169.38999999978</v>
      </c>
      <c r="AH284" s="1085">
        <f t="shared" si="129"/>
        <v>0</v>
      </c>
      <c r="AI284" s="1085">
        <f t="shared" si="129"/>
        <v>835169.38999999978</v>
      </c>
      <c r="AJ284" s="1077">
        <f t="shared" si="129"/>
        <v>0</v>
      </c>
      <c r="AK284" s="1074">
        <f t="shared" si="129"/>
        <v>800000</v>
      </c>
      <c r="AL284" s="1109">
        <f t="shared" si="129"/>
        <v>0</v>
      </c>
      <c r="AM284" s="1074">
        <f t="shared" si="129"/>
        <v>0</v>
      </c>
      <c r="AP284" s="1080">
        <f>SUBTOTAL(9,AP262:AP283)</f>
        <v>0</v>
      </c>
    </row>
    <row r="285" spans="1:42" outlineLevel="2" x14ac:dyDescent="0.2">
      <c r="A285" s="1075">
        <v>506</v>
      </c>
      <c r="B285" s="1078">
        <v>5763021</v>
      </c>
      <c r="C285" s="1075">
        <v>57630212</v>
      </c>
      <c r="D285" s="1075" t="s">
        <v>2164</v>
      </c>
      <c r="E285" s="1075" t="s">
        <v>2232</v>
      </c>
      <c r="F285" s="1075">
        <v>817100</v>
      </c>
      <c r="G285" s="1075" t="s">
        <v>2107</v>
      </c>
      <c r="H285" s="1075">
        <v>90534</v>
      </c>
      <c r="I285" s="1075">
        <v>0</v>
      </c>
      <c r="J285" s="1075">
        <v>72</v>
      </c>
      <c r="K285" s="1075">
        <v>38</v>
      </c>
      <c r="L285" s="1075">
        <v>0</v>
      </c>
      <c r="M285" s="1075" t="s">
        <v>961</v>
      </c>
      <c r="N285" s="1075" t="s">
        <v>3182</v>
      </c>
      <c r="O285" s="1077">
        <f>P285/100</f>
        <v>0.5</v>
      </c>
      <c r="P285" s="1075">
        <v>50</v>
      </c>
      <c r="Q285" s="1074">
        <v>6632.76</v>
      </c>
      <c r="R285" s="1074">
        <v>558.15</v>
      </c>
      <c r="S285" s="1074">
        <v>217.54</v>
      </c>
      <c r="T285" s="1074">
        <v>5404.47</v>
      </c>
      <c r="U285" s="1074">
        <v>0</v>
      </c>
      <c r="V285" s="1074">
        <v>0</v>
      </c>
      <c r="W285" s="1074">
        <v>0</v>
      </c>
      <c r="X285" s="1074">
        <v>794</v>
      </c>
      <c r="Y285" s="1074">
        <v>639.25</v>
      </c>
      <c r="Z285" s="1074">
        <v>494.4</v>
      </c>
      <c r="AA285" s="1074">
        <v>3476.82</v>
      </c>
      <c r="AB285" s="1074">
        <v>452.6</v>
      </c>
      <c r="AC285" s="1074">
        <v>0</v>
      </c>
      <c r="AD285" s="1074">
        <v>0</v>
      </c>
      <c r="AE285" s="1074">
        <v>1817100</v>
      </c>
      <c r="AF285" s="1074" t="s">
        <v>251</v>
      </c>
      <c r="AG285" s="1095">
        <f>VLOOKUP(B285,עזר!A$2:B$329,2,FALSE)</f>
        <v>54471.45</v>
      </c>
      <c r="AH285" s="1074">
        <f>Q285*3</f>
        <v>19898.28</v>
      </c>
      <c r="AI285" s="1074">
        <f>AH285+AG285</f>
        <v>74369.73</v>
      </c>
      <c r="AJ285" s="1077">
        <f>VLOOKUP(B285,Sheet1!D$2:K$430,7,FALSE)</f>
        <v>0.5</v>
      </c>
      <c r="AK285" s="1074">
        <f>VLOOKUP(B285,Sheet1!D$2:L$430,8,FALSE)</f>
        <v>60000</v>
      </c>
      <c r="AL285" s="1109">
        <f>O285</f>
        <v>0.5</v>
      </c>
      <c r="AM285" s="1074">
        <f>AI285*1.02</f>
        <v>75857.124599999996</v>
      </c>
      <c r="AN285" s="1085">
        <f>AL285</f>
        <v>0.5</v>
      </c>
      <c r="AO285" s="1074">
        <f>AM285</f>
        <v>75857.124599999996</v>
      </c>
      <c r="AP285" s="1080"/>
    </row>
    <row r="286" spans="1:42" outlineLevel="1" x14ac:dyDescent="0.2">
      <c r="B286" s="1078"/>
      <c r="F286" s="1088" t="s">
        <v>3115</v>
      </c>
      <c r="O286" s="1077">
        <f>SUBTOTAL(9,O285:O285)</f>
        <v>0.5</v>
      </c>
      <c r="Q286" s="1074">
        <f>SUBTOTAL(9,Q285:Q285)</f>
        <v>6632.76</v>
      </c>
      <c r="R286" s="1074"/>
      <c r="S286" s="1074"/>
      <c r="T286" s="1074"/>
      <c r="U286" s="1074"/>
      <c r="V286" s="1074"/>
      <c r="W286" s="1074"/>
      <c r="X286" s="1074"/>
      <c r="Y286" s="1074"/>
      <c r="Z286" s="1074"/>
      <c r="AA286" s="1074"/>
      <c r="AB286" s="1074"/>
      <c r="AC286" s="1074"/>
      <c r="AD286" s="1074"/>
      <c r="AE286" s="1074"/>
      <c r="AF286" s="1074"/>
      <c r="AG286" s="1095">
        <f t="shared" ref="AG286:AM286" si="130">SUBTOTAL(9,AG285:AG285)</f>
        <v>54471.45</v>
      </c>
      <c r="AH286" s="1074">
        <f t="shared" si="130"/>
        <v>19898.28</v>
      </c>
      <c r="AI286" s="1074">
        <f t="shared" si="130"/>
        <v>74369.73</v>
      </c>
      <c r="AJ286" s="1077">
        <f t="shared" si="130"/>
        <v>0.5</v>
      </c>
      <c r="AK286" s="1074">
        <f t="shared" si="130"/>
        <v>60000</v>
      </c>
      <c r="AL286" s="1109">
        <f t="shared" si="130"/>
        <v>0.5</v>
      </c>
      <c r="AM286" s="1074">
        <f t="shared" si="130"/>
        <v>75857.124599999996</v>
      </c>
      <c r="AP286" s="1080">
        <f>SUBTOTAL(9,AP285:AP285)</f>
        <v>0</v>
      </c>
    </row>
    <row r="287" spans="1:42" outlineLevel="2" x14ac:dyDescent="0.2">
      <c r="A287" s="1075">
        <v>506</v>
      </c>
      <c r="B287" s="1075">
        <v>3429563</v>
      </c>
      <c r="C287" s="1075">
        <v>34295634</v>
      </c>
      <c r="D287" s="1075" t="s">
        <v>2131</v>
      </c>
      <c r="E287" s="1075" t="s">
        <v>2419</v>
      </c>
      <c r="F287" s="1075">
        <v>817120</v>
      </c>
      <c r="G287" s="1075" t="s">
        <v>2384</v>
      </c>
      <c r="H287" s="1075">
        <v>90534</v>
      </c>
      <c r="I287" s="1075">
        <v>1</v>
      </c>
      <c r="J287" s="1075">
        <v>0</v>
      </c>
      <c r="K287" s="1075">
        <v>0</v>
      </c>
      <c r="L287" s="1075">
        <v>0</v>
      </c>
      <c r="M287" s="1075" t="s">
        <v>1233</v>
      </c>
      <c r="N287" s="1075" t="s">
        <v>1233</v>
      </c>
      <c r="O287" s="1077">
        <v>0</v>
      </c>
      <c r="Q287" s="1074">
        <v>0</v>
      </c>
      <c r="R287" s="1074"/>
      <c r="S287" s="1074"/>
      <c r="T287" s="1074"/>
      <c r="U287" s="1074"/>
      <c r="V287" s="1074"/>
      <c r="W287" s="1074"/>
      <c r="X287" s="1074"/>
      <c r="Y287" s="1074"/>
      <c r="Z287" s="1074"/>
      <c r="AA287" s="1074"/>
      <c r="AB287" s="1074"/>
      <c r="AC287" s="1074"/>
      <c r="AD287" s="1074"/>
      <c r="AE287" s="1074"/>
      <c r="AF287" s="1074"/>
      <c r="AG287" s="1095">
        <f>VLOOKUP(B287,עזר!A$2:B$329,2,FALSE)</f>
        <v>14469.79</v>
      </c>
      <c r="AH287" s="1074">
        <f>Q287*3</f>
        <v>0</v>
      </c>
      <c r="AI287" s="1074">
        <f>AH287+AG287</f>
        <v>14469.79</v>
      </c>
      <c r="AJ287" s="1077">
        <v>0</v>
      </c>
      <c r="AK287" s="1074">
        <v>0</v>
      </c>
      <c r="AL287" s="1109">
        <f>O287</f>
        <v>0</v>
      </c>
      <c r="AM287" s="1074">
        <v>0</v>
      </c>
      <c r="AN287" s="1085">
        <f t="shared" ref="AN287:AO289" si="131">AL287</f>
        <v>0</v>
      </c>
      <c r="AO287" s="1074">
        <f t="shared" si="131"/>
        <v>0</v>
      </c>
      <c r="AP287" s="1080"/>
    </row>
    <row r="288" spans="1:42" outlineLevel="2" x14ac:dyDescent="0.2">
      <c r="A288" s="1075">
        <v>506</v>
      </c>
      <c r="B288" s="1075">
        <v>20439570</v>
      </c>
      <c r="C288" s="1075">
        <v>204395701</v>
      </c>
      <c r="D288" s="1075" t="s">
        <v>2131</v>
      </c>
      <c r="E288" s="1075" t="s">
        <v>1118</v>
      </c>
      <c r="F288" s="1075">
        <v>817120</v>
      </c>
      <c r="G288" s="1075" t="s">
        <v>2384</v>
      </c>
      <c r="H288" s="1075">
        <v>90534</v>
      </c>
      <c r="I288" s="1075">
        <v>1</v>
      </c>
      <c r="J288" s="1075">
        <v>0</v>
      </c>
      <c r="K288" s="1075">
        <v>0</v>
      </c>
      <c r="L288" s="1075">
        <v>0</v>
      </c>
      <c r="M288" s="1075" t="s">
        <v>1233</v>
      </c>
      <c r="N288" s="1075" t="s">
        <v>1233</v>
      </c>
      <c r="O288" s="1077">
        <v>0</v>
      </c>
      <c r="Q288" s="1074">
        <v>0</v>
      </c>
      <c r="R288" s="1074"/>
      <c r="S288" s="1074"/>
      <c r="T288" s="1074"/>
      <c r="U288" s="1074"/>
      <c r="V288" s="1074"/>
      <c r="W288" s="1074"/>
      <c r="X288" s="1074"/>
      <c r="Y288" s="1074"/>
      <c r="Z288" s="1074"/>
      <c r="AA288" s="1074"/>
      <c r="AB288" s="1074"/>
      <c r="AC288" s="1074"/>
      <c r="AD288" s="1074"/>
      <c r="AE288" s="1074"/>
      <c r="AF288" s="1074"/>
      <c r="AG288" s="1095">
        <v>0</v>
      </c>
      <c r="AH288" s="1074">
        <f>Q288*3</f>
        <v>0</v>
      </c>
      <c r="AI288" s="1074">
        <f>AH288+AG288</f>
        <v>0</v>
      </c>
      <c r="AJ288" s="1077">
        <v>0</v>
      </c>
      <c r="AK288" s="1074">
        <v>0</v>
      </c>
      <c r="AL288" s="1109">
        <f>O288</f>
        <v>0</v>
      </c>
      <c r="AM288" s="1074">
        <f>AI288*1.02</f>
        <v>0</v>
      </c>
      <c r="AN288" s="1085">
        <f t="shared" si="131"/>
        <v>0</v>
      </c>
      <c r="AO288" s="1074">
        <f t="shared" si="131"/>
        <v>0</v>
      </c>
      <c r="AP288" s="1080"/>
    </row>
    <row r="289" spans="1:42" outlineLevel="2" x14ac:dyDescent="0.2">
      <c r="A289" s="1075">
        <v>506</v>
      </c>
      <c r="B289" s="1078">
        <v>999999</v>
      </c>
      <c r="C289" s="1075">
        <v>999999</v>
      </c>
      <c r="D289" s="1075" t="s">
        <v>1403</v>
      </c>
      <c r="E289" s="1075" t="s">
        <v>1509</v>
      </c>
      <c r="F289" s="1075">
        <v>817120</v>
      </c>
      <c r="M289" s="1075" t="s">
        <v>1233</v>
      </c>
      <c r="N289" s="1075" t="s">
        <v>1233</v>
      </c>
      <c r="O289" s="1085">
        <v>0</v>
      </c>
      <c r="P289" s="1085"/>
      <c r="Q289" s="1085">
        <v>0</v>
      </c>
      <c r="R289" s="1085"/>
      <c r="S289" s="1085"/>
      <c r="T289" s="1085"/>
      <c r="U289" s="1085"/>
      <c r="V289" s="1085"/>
      <c r="W289" s="1085"/>
      <c r="X289" s="1085"/>
      <c r="Y289" s="1085"/>
      <c r="Z289" s="1085"/>
      <c r="AA289" s="1085"/>
      <c r="AB289" s="1085"/>
      <c r="AC289" s="1085"/>
      <c r="AD289" s="1085"/>
      <c r="AE289" s="1085"/>
      <c r="AF289" s="1085"/>
      <c r="AG289" s="1096">
        <v>0</v>
      </c>
      <c r="AH289" s="1085">
        <f>Q289*3</f>
        <v>0</v>
      </c>
      <c r="AI289" s="1085">
        <v>0</v>
      </c>
      <c r="AK289" s="1074">
        <v>46000</v>
      </c>
      <c r="AL289" s="1109">
        <f>O289</f>
        <v>0</v>
      </c>
      <c r="AM289" s="1074">
        <v>40000</v>
      </c>
      <c r="AN289" s="1085">
        <f t="shared" si="131"/>
        <v>0</v>
      </c>
      <c r="AO289" s="1074">
        <f t="shared" si="131"/>
        <v>40000</v>
      </c>
      <c r="AP289" s="1080"/>
    </row>
    <row r="290" spans="1:42" outlineLevel="1" x14ac:dyDescent="0.2">
      <c r="B290" s="1078"/>
      <c r="F290" s="1088" t="s">
        <v>3116</v>
      </c>
      <c r="O290" s="1085">
        <f>SUBTOTAL(9,O287:O289)</f>
        <v>0</v>
      </c>
      <c r="P290" s="1085"/>
      <c r="Q290" s="1085">
        <f>SUBTOTAL(9,Q287:Q289)</f>
        <v>0</v>
      </c>
      <c r="R290" s="1085"/>
      <c r="S290" s="1085"/>
      <c r="T290" s="1085"/>
      <c r="U290" s="1085"/>
      <c r="V290" s="1085"/>
      <c r="W290" s="1085"/>
      <c r="X290" s="1085"/>
      <c r="Y290" s="1085"/>
      <c r="Z290" s="1085"/>
      <c r="AA290" s="1085"/>
      <c r="AB290" s="1085"/>
      <c r="AC290" s="1085"/>
      <c r="AD290" s="1085"/>
      <c r="AE290" s="1085"/>
      <c r="AF290" s="1085"/>
      <c r="AG290" s="1096">
        <f t="shared" ref="AG290:AM290" si="132">SUBTOTAL(9,AG287:AG289)</f>
        <v>14469.79</v>
      </c>
      <c r="AH290" s="1085">
        <f t="shared" si="132"/>
        <v>0</v>
      </c>
      <c r="AI290" s="1085">
        <f t="shared" si="132"/>
        <v>14469.79</v>
      </c>
      <c r="AJ290" s="1077">
        <f t="shared" si="132"/>
        <v>0</v>
      </c>
      <c r="AK290" s="1074">
        <f t="shared" si="132"/>
        <v>46000</v>
      </c>
      <c r="AL290" s="1109">
        <f t="shared" si="132"/>
        <v>0</v>
      </c>
      <c r="AM290" s="1074">
        <f t="shared" si="132"/>
        <v>40000</v>
      </c>
      <c r="AP290" s="1080">
        <f>SUBTOTAL(9,AP287:AP289)</f>
        <v>0</v>
      </c>
    </row>
    <row r="291" spans="1:42" outlineLevel="2" x14ac:dyDescent="0.2">
      <c r="A291" s="1075">
        <v>506</v>
      </c>
      <c r="B291" s="1078">
        <v>2587620</v>
      </c>
      <c r="C291" s="1075">
        <v>25876202</v>
      </c>
      <c r="D291" s="1075" t="s">
        <v>2230</v>
      </c>
      <c r="E291" s="1075" t="s">
        <v>1608</v>
      </c>
      <c r="F291" s="1075">
        <v>817200</v>
      </c>
      <c r="G291" s="1075" t="s">
        <v>2107</v>
      </c>
      <c r="H291" s="1075">
        <v>90534</v>
      </c>
      <c r="I291" s="1075">
        <v>0</v>
      </c>
      <c r="J291" s="1075">
        <v>5</v>
      </c>
      <c r="K291" s="1075">
        <v>37</v>
      </c>
      <c r="L291" s="1075">
        <v>0</v>
      </c>
      <c r="M291" s="1075" t="s">
        <v>3071</v>
      </c>
      <c r="N291" s="1075" t="s">
        <v>3071</v>
      </c>
      <c r="O291" s="1077">
        <f>P291/100</f>
        <v>0.5</v>
      </c>
      <c r="P291" s="1075">
        <v>50</v>
      </c>
      <c r="Q291" s="1074">
        <v>2770.8</v>
      </c>
      <c r="R291" s="1074">
        <v>216.25</v>
      </c>
      <c r="S291" s="1074">
        <v>86.16</v>
      </c>
      <c r="T291" s="1074">
        <v>2281.09</v>
      </c>
      <c r="U291" s="1074">
        <v>0</v>
      </c>
      <c r="V291" s="1074">
        <v>0</v>
      </c>
      <c r="W291" s="1074">
        <v>0</v>
      </c>
      <c r="X291" s="1074">
        <v>0</v>
      </c>
      <c r="Y291" s="1074">
        <v>237.3</v>
      </c>
      <c r="Z291" s="1074">
        <v>0</v>
      </c>
      <c r="AA291" s="1074">
        <v>2043.79</v>
      </c>
      <c r="AB291" s="1074">
        <v>187.3</v>
      </c>
      <c r="AC291" s="1074">
        <v>0</v>
      </c>
      <c r="AD291" s="1074">
        <v>0</v>
      </c>
      <c r="AE291" s="1074">
        <v>1817200</v>
      </c>
      <c r="AF291" s="1074" t="s">
        <v>251</v>
      </c>
      <c r="AG291" s="1095">
        <f>VLOOKUP(B291,עזר!A$2:B$329,2,FALSE)</f>
        <v>37526.449999999997</v>
      </c>
      <c r="AH291" s="1074">
        <f>Q291*3</f>
        <v>8312.4000000000015</v>
      </c>
      <c r="AI291" s="1074">
        <f>AH291+AG291</f>
        <v>45838.85</v>
      </c>
      <c r="AJ291" s="1077">
        <f>VLOOKUP(B291,Sheet1!D$2:K$430,7,FALSE)</f>
        <v>0.5</v>
      </c>
      <c r="AK291" s="1074">
        <f>VLOOKUP(B291,Sheet1!D$2:L$430,8,FALSE)</f>
        <v>48000</v>
      </c>
      <c r="AL291" s="1109">
        <f>O291</f>
        <v>0.5</v>
      </c>
      <c r="AM291" s="1074">
        <f>AI291*1.02</f>
        <v>46755.627</v>
      </c>
      <c r="AN291" s="1085">
        <f>AL291</f>
        <v>0.5</v>
      </c>
      <c r="AO291" s="1074">
        <f>AM291</f>
        <v>46755.627</v>
      </c>
      <c r="AP291" s="1080"/>
    </row>
    <row r="292" spans="1:42" outlineLevel="1" x14ac:dyDescent="0.2">
      <c r="B292" s="1078"/>
      <c r="F292" s="1088" t="s">
        <v>3117</v>
      </c>
      <c r="O292" s="1077">
        <f>SUBTOTAL(9,O291:O291)</f>
        <v>0.5</v>
      </c>
      <c r="Q292" s="1074">
        <f>SUBTOTAL(9,Q291:Q291)</f>
        <v>2770.8</v>
      </c>
      <c r="R292" s="1074"/>
      <c r="S292" s="1074"/>
      <c r="T292" s="1074"/>
      <c r="U292" s="1074"/>
      <c r="V292" s="1074"/>
      <c r="W292" s="1074"/>
      <c r="X292" s="1074"/>
      <c r="Y292" s="1074"/>
      <c r="Z292" s="1074"/>
      <c r="AA292" s="1074"/>
      <c r="AB292" s="1074"/>
      <c r="AC292" s="1074"/>
      <c r="AD292" s="1074"/>
      <c r="AE292" s="1074"/>
      <c r="AF292" s="1074"/>
      <c r="AG292" s="1095">
        <f t="shared" ref="AG292:AM292" si="133">SUBTOTAL(9,AG291:AG291)</f>
        <v>37526.449999999997</v>
      </c>
      <c r="AH292" s="1074">
        <f t="shared" si="133"/>
        <v>8312.4000000000015</v>
      </c>
      <c r="AI292" s="1074">
        <f t="shared" si="133"/>
        <v>45838.85</v>
      </c>
      <c r="AJ292" s="1077">
        <f t="shared" si="133"/>
        <v>0.5</v>
      </c>
      <c r="AK292" s="1074">
        <f t="shared" si="133"/>
        <v>48000</v>
      </c>
      <c r="AL292" s="1109">
        <f t="shared" si="133"/>
        <v>0.5</v>
      </c>
      <c r="AM292" s="1074">
        <f t="shared" si="133"/>
        <v>46755.627</v>
      </c>
      <c r="AP292" s="1080">
        <f>SUBTOTAL(9,AP291:AP291)</f>
        <v>0</v>
      </c>
    </row>
    <row r="293" spans="1:42" outlineLevel="2" x14ac:dyDescent="0.2">
      <c r="A293" s="1075">
        <v>506</v>
      </c>
      <c r="B293" s="1078">
        <v>2322909</v>
      </c>
      <c r="C293" s="1075">
        <v>23229099</v>
      </c>
      <c r="D293" s="1075" t="s">
        <v>2233</v>
      </c>
      <c r="E293" s="1075" t="s">
        <v>2233</v>
      </c>
      <c r="F293" s="1075">
        <v>817300</v>
      </c>
      <c r="G293" s="1075" t="s">
        <v>2107</v>
      </c>
      <c r="H293" s="1075">
        <v>90534</v>
      </c>
      <c r="I293" s="1075">
        <v>0</v>
      </c>
      <c r="J293" s="1075">
        <v>81</v>
      </c>
      <c r="K293" s="1075">
        <v>39</v>
      </c>
      <c r="L293" s="1075">
        <v>0</v>
      </c>
      <c r="M293" s="1075" t="s">
        <v>1613</v>
      </c>
      <c r="N293" s="1075" t="s">
        <v>1613</v>
      </c>
      <c r="O293" s="1077">
        <f t="shared" ref="O293:O299" si="134">P293/100</f>
        <v>0.5</v>
      </c>
      <c r="P293" s="1075">
        <v>50</v>
      </c>
      <c r="Q293" s="1074">
        <v>4896.3</v>
      </c>
      <c r="R293" s="1074">
        <v>762.55</v>
      </c>
      <c r="S293" s="1074">
        <v>151.69999999999999</v>
      </c>
      <c r="T293" s="1074">
        <v>3652.25</v>
      </c>
      <c r="U293" s="1074">
        <v>0</v>
      </c>
      <c r="V293" s="1074">
        <v>0</v>
      </c>
      <c r="W293" s="1074">
        <v>0</v>
      </c>
      <c r="X293" s="1074">
        <v>0</v>
      </c>
      <c r="Y293" s="1074">
        <v>105.9</v>
      </c>
      <c r="Z293" s="1074">
        <v>0</v>
      </c>
      <c r="AA293" s="1074">
        <v>3546.35</v>
      </c>
      <c r="AB293" s="1074">
        <v>329.8</v>
      </c>
      <c r="AC293" s="1074">
        <v>0</v>
      </c>
      <c r="AD293" s="1074">
        <v>0</v>
      </c>
      <c r="AE293" s="1074">
        <v>1817300</v>
      </c>
      <c r="AF293" s="1074" t="s">
        <v>251</v>
      </c>
      <c r="AG293" s="1095">
        <f>VLOOKUP(B293,עזר!A$2:B$329,2,FALSE)</f>
        <v>44521.84</v>
      </c>
      <c r="AH293" s="1074">
        <f t="shared" ref="AH293:AH301" si="135">Q293*3</f>
        <v>14688.900000000001</v>
      </c>
      <c r="AI293" s="1074">
        <f t="shared" ref="AI293:AI301" si="136">AH293+AG293</f>
        <v>59210.74</v>
      </c>
      <c r="AJ293" s="1077">
        <v>0</v>
      </c>
      <c r="AK293" s="1074">
        <v>0</v>
      </c>
      <c r="AL293" s="1109">
        <f t="shared" ref="AL293:AL299" si="137">O293</f>
        <v>0.5</v>
      </c>
      <c r="AM293" s="1074">
        <f t="shared" ref="AM293:AM299" si="138">AI293*1.02</f>
        <v>60394.9548</v>
      </c>
      <c r="AN293" s="1085">
        <f t="shared" ref="AN293:AN301" si="139">AL293</f>
        <v>0.5</v>
      </c>
      <c r="AO293" s="1074">
        <f t="shared" ref="AO293:AO301" si="140">AM293</f>
        <v>60394.9548</v>
      </c>
      <c r="AP293" s="1080"/>
    </row>
    <row r="294" spans="1:42" outlineLevel="2" x14ac:dyDescent="0.2">
      <c r="A294" s="1075">
        <v>506</v>
      </c>
      <c r="B294" s="1078">
        <v>3290212</v>
      </c>
      <c r="C294" s="1075">
        <v>32902124</v>
      </c>
      <c r="D294" s="1075" t="s">
        <v>2234</v>
      </c>
      <c r="E294" s="1075" t="s">
        <v>2235</v>
      </c>
      <c r="F294" s="1075">
        <v>817300</v>
      </c>
      <c r="G294" s="1075" t="s">
        <v>2107</v>
      </c>
      <c r="H294" s="1075">
        <v>90534</v>
      </c>
      <c r="I294" s="1075">
        <v>0</v>
      </c>
      <c r="J294" s="1075">
        <v>81</v>
      </c>
      <c r="K294" s="1075">
        <v>69</v>
      </c>
      <c r="L294" s="1075">
        <v>0</v>
      </c>
      <c r="M294" s="1075" t="s">
        <v>1613</v>
      </c>
      <c r="N294" s="1075" t="s">
        <v>1613</v>
      </c>
      <c r="O294" s="1077">
        <f t="shared" si="134"/>
        <v>0.5</v>
      </c>
      <c r="P294" s="1075">
        <v>50</v>
      </c>
      <c r="Q294" s="1074">
        <v>5691.7</v>
      </c>
      <c r="R294" s="1074">
        <v>861.95</v>
      </c>
      <c r="S294" s="1074">
        <v>176.37</v>
      </c>
      <c r="T294" s="1074">
        <v>4269.9799999999996</v>
      </c>
      <c r="U294" s="1074">
        <v>261</v>
      </c>
      <c r="V294" s="1074">
        <v>0</v>
      </c>
      <c r="W294" s="1074">
        <v>0</v>
      </c>
      <c r="X294" s="1074">
        <v>0</v>
      </c>
      <c r="Y294" s="1074">
        <v>78.7</v>
      </c>
      <c r="Z294" s="1074">
        <v>0</v>
      </c>
      <c r="AA294" s="1074">
        <v>3930.28</v>
      </c>
      <c r="AB294" s="1074">
        <v>383.4</v>
      </c>
      <c r="AC294" s="1074">
        <v>0</v>
      </c>
      <c r="AD294" s="1074">
        <v>0</v>
      </c>
      <c r="AE294" s="1074">
        <v>1817300</v>
      </c>
      <c r="AF294" s="1074" t="s">
        <v>251</v>
      </c>
      <c r="AG294" s="1095">
        <f>VLOOKUP(B294,עזר!A$2:B$329,2,FALSE)</f>
        <v>56237.16</v>
      </c>
      <c r="AH294" s="1074">
        <f t="shared" si="135"/>
        <v>17075.099999999999</v>
      </c>
      <c r="AI294" s="1074">
        <f t="shared" si="136"/>
        <v>73312.260000000009</v>
      </c>
      <c r="AJ294" s="1077">
        <f>VLOOKUP(B294,Sheet1!D$2:K$430,7,FALSE)</f>
        <v>0.5</v>
      </c>
      <c r="AK294" s="1074">
        <f>VLOOKUP(B294,Sheet1!D$2:L$430,8,FALSE)</f>
        <v>60000</v>
      </c>
      <c r="AL294" s="1109">
        <f t="shared" si="137"/>
        <v>0.5</v>
      </c>
      <c r="AM294" s="1074">
        <f t="shared" si="138"/>
        <v>74778.505200000014</v>
      </c>
      <c r="AN294" s="1085">
        <f t="shared" si="139"/>
        <v>0.5</v>
      </c>
      <c r="AO294" s="1074">
        <f t="shared" si="140"/>
        <v>74778.505200000014</v>
      </c>
      <c r="AP294" s="1080"/>
    </row>
    <row r="295" spans="1:42" outlineLevel="2" x14ac:dyDescent="0.2">
      <c r="A295" s="1075">
        <v>506</v>
      </c>
      <c r="B295" s="1078">
        <v>5702429</v>
      </c>
      <c r="C295" s="1075">
        <v>57024291</v>
      </c>
      <c r="D295" s="1075" t="s">
        <v>2236</v>
      </c>
      <c r="E295" s="1075" t="s">
        <v>2237</v>
      </c>
      <c r="F295" s="1075">
        <v>817300</v>
      </c>
      <c r="G295" s="1075" t="s">
        <v>2107</v>
      </c>
      <c r="H295" s="1075">
        <v>90534</v>
      </c>
      <c r="I295" s="1075">
        <v>0</v>
      </c>
      <c r="J295" s="1075">
        <v>81</v>
      </c>
      <c r="K295" s="1075">
        <v>72</v>
      </c>
      <c r="L295" s="1075">
        <v>0</v>
      </c>
      <c r="M295" s="1075" t="s">
        <v>1613</v>
      </c>
      <c r="N295" s="1075" t="s">
        <v>1613</v>
      </c>
      <c r="O295" s="1077">
        <f t="shared" si="134"/>
        <v>0.75</v>
      </c>
      <c r="P295" s="1075">
        <v>75</v>
      </c>
      <c r="Q295" s="1074">
        <v>21390.720000000001</v>
      </c>
      <c r="R295" s="1074">
        <v>1136.8499999999999</v>
      </c>
      <c r="S295" s="1074">
        <v>1101.17</v>
      </c>
      <c r="T295" s="1074">
        <v>17816.45</v>
      </c>
      <c r="U295" s="1074">
        <v>0</v>
      </c>
      <c r="V295" s="1074">
        <v>0</v>
      </c>
      <c r="W295" s="1074">
        <v>0</v>
      </c>
      <c r="X295" s="1074">
        <v>1241.8</v>
      </c>
      <c r="Y295" s="1074">
        <v>249.45</v>
      </c>
      <c r="Z295" s="1074">
        <v>0</v>
      </c>
      <c r="AA295" s="1074">
        <v>16325.2</v>
      </c>
      <c r="AB295" s="1074">
        <v>1336.25</v>
      </c>
      <c r="AC295" s="1074">
        <v>0</v>
      </c>
      <c r="AD295" s="1074">
        <v>0</v>
      </c>
      <c r="AE295" s="1074">
        <v>1817300</v>
      </c>
      <c r="AF295" s="1074" t="s">
        <v>251</v>
      </c>
      <c r="AG295" s="1095">
        <f>VLOOKUP(B295,עזר!A$2:B$329,2,FALSE)</f>
        <v>143729.99</v>
      </c>
      <c r="AH295" s="1074">
        <f t="shared" si="135"/>
        <v>64172.160000000003</v>
      </c>
      <c r="AI295" s="1074">
        <f t="shared" si="136"/>
        <v>207902.15</v>
      </c>
      <c r="AJ295" s="1077">
        <f>VLOOKUP(B295,Sheet1!D$2:K$430,7,FALSE)</f>
        <v>0.75</v>
      </c>
      <c r="AK295" s="1074">
        <f>VLOOKUP(B295,Sheet1!D$2:L$430,8,FALSE)</f>
        <v>81000</v>
      </c>
      <c r="AL295" s="1109">
        <f t="shared" si="137"/>
        <v>0.75</v>
      </c>
      <c r="AM295" s="1074">
        <f t="shared" si="138"/>
        <v>212060.193</v>
      </c>
      <c r="AN295" s="1085">
        <f t="shared" si="139"/>
        <v>0.75</v>
      </c>
      <c r="AO295" s="1074">
        <f t="shared" si="140"/>
        <v>212060.193</v>
      </c>
      <c r="AP295" s="1080"/>
    </row>
    <row r="296" spans="1:42" outlineLevel="2" x14ac:dyDescent="0.2">
      <c r="A296" s="1075">
        <v>506</v>
      </c>
      <c r="B296" s="1078">
        <v>5944901</v>
      </c>
      <c r="C296" s="1075">
        <v>59449017</v>
      </c>
      <c r="D296" s="1075" t="s">
        <v>2208</v>
      </c>
      <c r="E296" s="1075" t="s">
        <v>2238</v>
      </c>
      <c r="F296" s="1075">
        <v>817300</v>
      </c>
      <c r="G296" s="1075" t="s">
        <v>2107</v>
      </c>
      <c r="H296" s="1075">
        <v>90534</v>
      </c>
      <c r="I296" s="1075">
        <v>0</v>
      </c>
      <c r="J296" s="1075">
        <v>5</v>
      </c>
      <c r="K296" s="1075">
        <v>8</v>
      </c>
      <c r="L296" s="1075">
        <v>0</v>
      </c>
      <c r="M296" s="1075" t="s">
        <v>1613</v>
      </c>
      <c r="N296" s="1075" t="s">
        <v>1613</v>
      </c>
      <c r="O296" s="1077">
        <f t="shared" si="134"/>
        <v>0.75</v>
      </c>
      <c r="P296" s="1075">
        <v>75</v>
      </c>
      <c r="Q296" s="1074">
        <v>9851.6</v>
      </c>
      <c r="R296" s="1074">
        <v>901.6</v>
      </c>
      <c r="S296" s="1074">
        <v>313.98</v>
      </c>
      <c r="T296" s="1074">
        <v>8033.52</v>
      </c>
      <c r="U296" s="1074">
        <v>0</v>
      </c>
      <c r="V296" s="1074">
        <v>0</v>
      </c>
      <c r="W296" s="1074">
        <v>0</v>
      </c>
      <c r="X296" s="1074">
        <v>0</v>
      </c>
      <c r="Y296" s="1074">
        <v>113.9</v>
      </c>
      <c r="Z296" s="1074">
        <v>0</v>
      </c>
      <c r="AA296" s="1074">
        <v>7919.62</v>
      </c>
      <c r="AB296" s="1074">
        <v>602.5</v>
      </c>
      <c r="AC296" s="1074">
        <v>0</v>
      </c>
      <c r="AD296" s="1074">
        <v>0</v>
      </c>
      <c r="AE296" s="1074">
        <v>1817300</v>
      </c>
      <c r="AF296" s="1074" t="s">
        <v>251</v>
      </c>
      <c r="AG296" s="1095">
        <f>VLOOKUP(B296,עזר!A$2:B$329,2,FALSE)</f>
        <v>67219.13</v>
      </c>
      <c r="AH296" s="1074">
        <f t="shared" si="135"/>
        <v>29554.800000000003</v>
      </c>
      <c r="AI296" s="1074">
        <f t="shared" si="136"/>
        <v>96773.930000000008</v>
      </c>
      <c r="AJ296" s="1077">
        <f>VLOOKUP(B296,Sheet1!D$2:K$430,7,FALSE)</f>
        <v>0.5</v>
      </c>
      <c r="AK296" s="1074">
        <f>VLOOKUP(B296,Sheet1!D$2:L$430,8,FALSE)</f>
        <v>64000</v>
      </c>
      <c r="AL296" s="1109">
        <f t="shared" si="137"/>
        <v>0.75</v>
      </c>
      <c r="AM296" s="1074">
        <f t="shared" si="138"/>
        <v>98709.40860000001</v>
      </c>
      <c r="AN296" s="1085">
        <f t="shared" si="139"/>
        <v>0.75</v>
      </c>
      <c r="AO296" s="1074">
        <f t="shared" si="140"/>
        <v>98709.40860000001</v>
      </c>
      <c r="AP296" s="1080"/>
    </row>
    <row r="297" spans="1:42" outlineLevel="2" x14ac:dyDescent="0.2">
      <c r="A297" s="1075">
        <v>506</v>
      </c>
      <c r="B297" s="1078">
        <v>20055794</v>
      </c>
      <c r="C297" s="1075">
        <v>200557940</v>
      </c>
      <c r="D297" s="1075" t="s">
        <v>2216</v>
      </c>
      <c r="E297" s="1075" t="s">
        <v>2239</v>
      </c>
      <c r="F297" s="1075">
        <v>817300</v>
      </c>
      <c r="G297" s="1075" t="s">
        <v>2107</v>
      </c>
      <c r="H297" s="1075">
        <v>90534</v>
      </c>
      <c r="I297" s="1075">
        <v>0</v>
      </c>
      <c r="J297" s="1075">
        <v>5</v>
      </c>
      <c r="K297" s="1075">
        <v>5</v>
      </c>
      <c r="L297" s="1075">
        <v>0</v>
      </c>
      <c r="M297" s="1075" t="s">
        <v>1613</v>
      </c>
      <c r="N297" s="1075" t="s">
        <v>1613</v>
      </c>
      <c r="O297" s="1077">
        <f t="shared" si="134"/>
        <v>0.5</v>
      </c>
      <c r="P297" s="1075">
        <v>50</v>
      </c>
      <c r="Q297" s="1074">
        <v>4466.59</v>
      </c>
      <c r="R297" s="1074">
        <v>707.91</v>
      </c>
      <c r="S297" s="1074">
        <v>116.82</v>
      </c>
      <c r="T297" s="1074">
        <v>3387.83</v>
      </c>
      <c r="U297" s="1074">
        <v>0</v>
      </c>
      <c r="V297" s="1074">
        <v>0</v>
      </c>
      <c r="W297" s="1074">
        <v>0</v>
      </c>
      <c r="X297" s="1074">
        <v>0</v>
      </c>
      <c r="Y297" s="1074">
        <v>21.85</v>
      </c>
      <c r="Z297" s="1074">
        <v>0</v>
      </c>
      <c r="AA297" s="1074">
        <v>3365.98</v>
      </c>
      <c r="AB297" s="1074">
        <v>254.03</v>
      </c>
      <c r="AC297" s="1074">
        <v>0</v>
      </c>
      <c r="AD297" s="1074">
        <v>0</v>
      </c>
      <c r="AE297" s="1074">
        <v>1817300</v>
      </c>
      <c r="AF297" s="1074" t="s">
        <v>251</v>
      </c>
      <c r="AG297" s="1095">
        <f>VLOOKUP(B297,עזר!A$2:B$329,2,FALSE)</f>
        <v>49300.61</v>
      </c>
      <c r="AH297" s="1074">
        <f t="shared" si="135"/>
        <v>13399.77</v>
      </c>
      <c r="AI297" s="1074">
        <f t="shared" si="136"/>
        <v>62700.380000000005</v>
      </c>
      <c r="AJ297" s="1077">
        <f>VLOOKUP(B297,Sheet1!D$2:K$430,7,FALSE)</f>
        <v>0.6</v>
      </c>
      <c r="AK297" s="1074">
        <f>VLOOKUP(B297,Sheet1!D$2:L$430,8,FALSE)</f>
        <v>30000</v>
      </c>
      <c r="AL297" s="1109">
        <f t="shared" si="137"/>
        <v>0.5</v>
      </c>
      <c r="AM297" s="1074">
        <f t="shared" si="138"/>
        <v>63954.387600000009</v>
      </c>
      <c r="AN297" s="1085">
        <f t="shared" si="139"/>
        <v>0.5</v>
      </c>
      <c r="AO297" s="1074">
        <f t="shared" si="140"/>
        <v>63954.387600000009</v>
      </c>
      <c r="AP297" s="1080"/>
    </row>
    <row r="298" spans="1:42" outlineLevel="2" x14ac:dyDescent="0.2">
      <c r="A298" s="1075">
        <v>506</v>
      </c>
      <c r="B298" s="1078">
        <v>20152285</v>
      </c>
      <c r="C298" s="1075">
        <v>201522851</v>
      </c>
      <c r="D298" s="1075" t="s">
        <v>2240</v>
      </c>
      <c r="E298" s="1075" t="s">
        <v>2238</v>
      </c>
      <c r="F298" s="1075">
        <v>817300</v>
      </c>
      <c r="G298" s="1075" t="s">
        <v>2107</v>
      </c>
      <c r="H298" s="1075">
        <v>90534</v>
      </c>
      <c r="I298" s="1075">
        <v>0</v>
      </c>
      <c r="J298" s="1075">
        <v>81</v>
      </c>
      <c r="K298" s="1075">
        <v>37</v>
      </c>
      <c r="L298" s="1075">
        <v>0</v>
      </c>
      <c r="M298" s="1075" t="s">
        <v>1613</v>
      </c>
      <c r="N298" s="1075" t="s">
        <v>1613</v>
      </c>
      <c r="O298" s="1077">
        <f t="shared" si="134"/>
        <v>0.5</v>
      </c>
      <c r="P298" s="1075">
        <v>50</v>
      </c>
      <c r="Q298" s="1074">
        <v>5045.6499999999996</v>
      </c>
      <c r="R298" s="1074">
        <v>728.55</v>
      </c>
      <c r="S298" s="1074">
        <v>156.37</v>
      </c>
      <c r="T298" s="1074">
        <v>3820.78</v>
      </c>
      <c r="U298" s="1074">
        <v>0</v>
      </c>
      <c r="V298" s="1074">
        <v>0</v>
      </c>
      <c r="W298" s="1074">
        <v>0</v>
      </c>
      <c r="X298" s="1074">
        <v>0</v>
      </c>
      <c r="Y298" s="1074">
        <v>432.3</v>
      </c>
      <c r="Z298" s="1074">
        <v>0</v>
      </c>
      <c r="AA298" s="1074">
        <v>3388.48</v>
      </c>
      <c r="AB298" s="1074">
        <v>339.95</v>
      </c>
      <c r="AC298" s="1074">
        <v>0</v>
      </c>
      <c r="AD298" s="1074">
        <v>0</v>
      </c>
      <c r="AE298" s="1074">
        <v>1817300</v>
      </c>
      <c r="AF298" s="1074" t="s">
        <v>251</v>
      </c>
      <c r="AG298" s="1095">
        <f>VLOOKUP(B298,עזר!A$2:B$329,2,FALSE)</f>
        <v>46982.94</v>
      </c>
      <c r="AH298" s="1074">
        <f t="shared" si="135"/>
        <v>15136.949999999999</v>
      </c>
      <c r="AI298" s="1074">
        <f t="shared" si="136"/>
        <v>62119.89</v>
      </c>
      <c r="AJ298" s="1077">
        <v>0</v>
      </c>
      <c r="AK298" s="1074">
        <v>0</v>
      </c>
      <c r="AL298" s="1109">
        <f t="shared" si="137"/>
        <v>0.5</v>
      </c>
      <c r="AM298" s="1074">
        <f t="shared" si="138"/>
        <v>63362.287799999998</v>
      </c>
      <c r="AN298" s="1085">
        <f t="shared" si="139"/>
        <v>0.5</v>
      </c>
      <c r="AO298" s="1074">
        <f t="shared" si="140"/>
        <v>63362.287799999998</v>
      </c>
      <c r="AP298" s="1080"/>
    </row>
    <row r="299" spans="1:42" outlineLevel="2" x14ac:dyDescent="0.2">
      <c r="A299" s="1075">
        <v>506</v>
      </c>
      <c r="B299" s="1078">
        <v>20332162</v>
      </c>
      <c r="C299" s="1075">
        <v>203321625</v>
      </c>
      <c r="D299" s="1075" t="s">
        <v>2236</v>
      </c>
      <c r="E299" s="1075" t="s">
        <v>2241</v>
      </c>
      <c r="F299" s="1075">
        <v>817300</v>
      </c>
      <c r="G299" s="1075" t="s">
        <v>2107</v>
      </c>
      <c r="H299" s="1075">
        <v>90534</v>
      </c>
      <c r="I299" s="1075">
        <v>0</v>
      </c>
      <c r="J299" s="1075">
        <v>81</v>
      </c>
      <c r="K299" s="1075">
        <v>37</v>
      </c>
      <c r="L299" s="1075">
        <v>0</v>
      </c>
      <c r="M299" s="1075" t="s">
        <v>1613</v>
      </c>
      <c r="N299" s="1075" t="s">
        <v>1613</v>
      </c>
      <c r="O299" s="1077">
        <f t="shared" si="134"/>
        <v>0.5</v>
      </c>
      <c r="P299" s="1075">
        <v>50</v>
      </c>
      <c r="Q299" s="1074">
        <v>4755.1000000000004</v>
      </c>
      <c r="R299" s="1074">
        <v>721.95</v>
      </c>
      <c r="S299" s="1074">
        <v>125.41</v>
      </c>
      <c r="T299" s="1074">
        <v>3635.09</v>
      </c>
      <c r="U299" s="1074">
        <v>0</v>
      </c>
      <c r="V299" s="1074">
        <v>0</v>
      </c>
      <c r="W299" s="1074">
        <v>73.05</v>
      </c>
      <c r="X299" s="1074">
        <v>0</v>
      </c>
      <c r="Y299" s="1074">
        <v>277.25</v>
      </c>
      <c r="Z299" s="1074">
        <v>0</v>
      </c>
      <c r="AA299" s="1074">
        <v>3284.79</v>
      </c>
      <c r="AB299" s="1074">
        <v>272.64999999999998</v>
      </c>
      <c r="AC299" s="1074">
        <v>0</v>
      </c>
      <c r="AD299" s="1074">
        <v>0</v>
      </c>
      <c r="AE299" s="1074">
        <v>1817300</v>
      </c>
      <c r="AF299" s="1074" t="s">
        <v>251</v>
      </c>
      <c r="AG299" s="1095">
        <f>VLOOKUP(B299,עזר!A$2:B$329,2,FALSE)</f>
        <v>43993.99</v>
      </c>
      <c r="AH299" s="1074">
        <f t="shared" si="135"/>
        <v>14265.300000000001</v>
      </c>
      <c r="AI299" s="1074">
        <f t="shared" si="136"/>
        <v>58259.29</v>
      </c>
      <c r="AJ299" s="1077">
        <v>0</v>
      </c>
      <c r="AK299" s="1074">
        <v>0</v>
      </c>
      <c r="AL299" s="1109">
        <f t="shared" si="137"/>
        <v>0.5</v>
      </c>
      <c r="AM299" s="1074">
        <f t="shared" si="138"/>
        <v>59424.4758</v>
      </c>
      <c r="AN299" s="1085">
        <f t="shared" si="139"/>
        <v>0.5</v>
      </c>
      <c r="AO299" s="1074">
        <f t="shared" si="140"/>
        <v>59424.4758</v>
      </c>
      <c r="AP299" s="1080"/>
    </row>
    <row r="300" spans="1:42" outlineLevel="2" x14ac:dyDescent="0.2">
      <c r="A300" s="1075">
        <v>506</v>
      </c>
      <c r="B300" s="1075">
        <v>30083634</v>
      </c>
      <c r="C300" s="1075">
        <v>300836343</v>
      </c>
      <c r="D300" s="1075" t="s">
        <v>2420</v>
      </c>
      <c r="E300" s="1075" t="s">
        <v>2421</v>
      </c>
      <c r="F300" s="1075">
        <v>817300</v>
      </c>
      <c r="G300" s="1075" t="s">
        <v>2384</v>
      </c>
      <c r="H300" s="1075">
        <v>90534</v>
      </c>
      <c r="I300" s="1075">
        <v>0</v>
      </c>
      <c r="J300" s="1075">
        <v>81</v>
      </c>
      <c r="K300" s="1075">
        <v>38</v>
      </c>
      <c r="L300" s="1075">
        <v>0</v>
      </c>
      <c r="M300" s="1075" t="s">
        <v>1613</v>
      </c>
      <c r="N300" s="1075" t="s">
        <v>1613</v>
      </c>
      <c r="O300" s="1077">
        <f>300/900</f>
        <v>0.33333333333333331</v>
      </c>
      <c r="Q300" s="1074">
        <v>0</v>
      </c>
      <c r="R300" s="1074"/>
      <c r="S300" s="1074"/>
      <c r="T300" s="1074"/>
      <c r="U300" s="1074"/>
      <c r="V300" s="1074"/>
      <c r="W300" s="1074"/>
      <c r="X300" s="1074"/>
      <c r="Y300" s="1074"/>
      <c r="Z300" s="1074"/>
      <c r="AA300" s="1074"/>
      <c r="AB300" s="1074"/>
      <c r="AC300" s="1074"/>
      <c r="AD300" s="1074"/>
      <c r="AE300" s="1074"/>
      <c r="AF300" s="1074"/>
      <c r="AG300" s="1095">
        <f>VLOOKUP(B300,עזר!A$2:B$329,2,FALSE)</f>
        <v>28128.35</v>
      </c>
      <c r="AH300" s="1074">
        <f t="shared" si="135"/>
        <v>0</v>
      </c>
      <c r="AI300" s="1074">
        <f t="shared" si="136"/>
        <v>28128.35</v>
      </c>
      <c r="AJ300" s="1077">
        <v>0</v>
      </c>
      <c r="AK300" s="1074">
        <v>0</v>
      </c>
      <c r="AL300" s="1109">
        <v>0</v>
      </c>
      <c r="AM300" s="1074">
        <v>0</v>
      </c>
      <c r="AN300" s="1085">
        <f t="shared" si="139"/>
        <v>0</v>
      </c>
      <c r="AO300" s="1074">
        <f t="shared" si="140"/>
        <v>0</v>
      </c>
      <c r="AP300" s="1080"/>
    </row>
    <row r="301" spans="1:42" outlineLevel="2" x14ac:dyDescent="0.2">
      <c r="A301" s="1075">
        <v>506</v>
      </c>
      <c r="B301" s="1078">
        <v>30279365</v>
      </c>
      <c r="C301" s="1075">
        <v>302793658</v>
      </c>
      <c r="D301" s="1075" t="s">
        <v>2242</v>
      </c>
      <c r="E301" s="1075" t="s">
        <v>2243</v>
      </c>
      <c r="F301" s="1075">
        <v>817300</v>
      </c>
      <c r="G301" s="1075" t="s">
        <v>2107</v>
      </c>
      <c r="H301" s="1075">
        <v>90534</v>
      </c>
      <c r="I301" s="1075">
        <v>0</v>
      </c>
      <c r="J301" s="1075">
        <v>81</v>
      </c>
      <c r="K301" s="1075">
        <v>37</v>
      </c>
      <c r="L301" s="1075">
        <v>0</v>
      </c>
      <c r="M301" s="1075" t="s">
        <v>1613</v>
      </c>
      <c r="N301" s="1075" t="s">
        <v>1613</v>
      </c>
      <c r="O301" s="1077">
        <f>P301/100</f>
        <v>0.5</v>
      </c>
      <c r="P301" s="1075">
        <v>50</v>
      </c>
      <c r="Q301" s="1074">
        <v>4840.96</v>
      </c>
      <c r="R301" s="1074">
        <v>728.55</v>
      </c>
      <c r="S301" s="1074">
        <v>127.88</v>
      </c>
      <c r="T301" s="1074">
        <v>3706.53</v>
      </c>
      <c r="U301" s="1074">
        <v>0</v>
      </c>
      <c r="V301" s="1074">
        <v>0</v>
      </c>
      <c r="W301" s="1074">
        <v>0</v>
      </c>
      <c r="X301" s="1074">
        <v>0</v>
      </c>
      <c r="Y301" s="1074">
        <v>318.05</v>
      </c>
      <c r="Z301" s="1074">
        <v>0</v>
      </c>
      <c r="AA301" s="1074">
        <v>3388.48</v>
      </c>
      <c r="AB301" s="1074">
        <v>278</v>
      </c>
      <c r="AC301" s="1074">
        <v>0</v>
      </c>
      <c r="AD301" s="1074">
        <v>0</v>
      </c>
      <c r="AE301" s="1074">
        <v>1817300</v>
      </c>
      <c r="AF301" s="1074" t="s">
        <v>251</v>
      </c>
      <c r="AG301" s="1095">
        <f>VLOOKUP(B301,עזר!A$2:B$329,2,FALSE)</f>
        <v>42683.57</v>
      </c>
      <c r="AH301" s="1074">
        <f t="shared" si="135"/>
        <v>14522.880000000001</v>
      </c>
      <c r="AI301" s="1074">
        <f t="shared" si="136"/>
        <v>57206.45</v>
      </c>
      <c r="AJ301" s="1077">
        <v>0</v>
      </c>
      <c r="AK301" s="1074">
        <v>0</v>
      </c>
      <c r="AL301" s="1109">
        <f>O301</f>
        <v>0.5</v>
      </c>
      <c r="AM301" s="1074">
        <f>AI301*1.02</f>
        <v>58350.578999999998</v>
      </c>
      <c r="AN301" s="1085">
        <f t="shared" si="139"/>
        <v>0.5</v>
      </c>
      <c r="AO301" s="1074">
        <f t="shared" si="140"/>
        <v>58350.578999999998</v>
      </c>
      <c r="AP301" s="1080"/>
    </row>
    <row r="302" spans="1:42" outlineLevel="1" x14ac:dyDescent="0.2">
      <c r="B302" s="1078"/>
      <c r="F302" s="1088" t="s">
        <v>3118</v>
      </c>
      <c r="O302" s="1077">
        <f>SUBTOTAL(9,O293:O301)</f>
        <v>4.833333333333333</v>
      </c>
      <c r="Q302" s="1074">
        <f>SUBTOTAL(9,Q293:Q301)</f>
        <v>60938.62</v>
      </c>
      <c r="R302" s="1074"/>
      <c r="S302" s="1074"/>
      <c r="T302" s="1074"/>
      <c r="U302" s="1074"/>
      <c r="V302" s="1074"/>
      <c r="W302" s="1074"/>
      <c r="X302" s="1074"/>
      <c r="Y302" s="1074"/>
      <c r="Z302" s="1074"/>
      <c r="AA302" s="1074"/>
      <c r="AB302" s="1074"/>
      <c r="AC302" s="1074"/>
      <c r="AD302" s="1074"/>
      <c r="AE302" s="1074"/>
      <c r="AF302" s="1074"/>
      <c r="AG302" s="1095">
        <f t="shared" ref="AG302:AM302" si="141">SUBTOTAL(9,AG293:AG301)</f>
        <v>522797.57999999996</v>
      </c>
      <c r="AH302" s="1074">
        <f t="shared" si="141"/>
        <v>182815.86000000002</v>
      </c>
      <c r="AI302" s="1074">
        <f t="shared" si="141"/>
        <v>705613.44</v>
      </c>
      <c r="AJ302" s="1077">
        <f t="shared" si="141"/>
        <v>2.35</v>
      </c>
      <c r="AK302" s="1074">
        <f t="shared" si="141"/>
        <v>235000</v>
      </c>
      <c r="AL302" s="1109">
        <f t="shared" si="141"/>
        <v>4.5</v>
      </c>
      <c r="AM302" s="1074">
        <f t="shared" si="141"/>
        <v>691034.79180000012</v>
      </c>
      <c r="AP302" s="1080">
        <f>SUBTOTAL(9,AP293:AP301)</f>
        <v>0</v>
      </c>
    </row>
    <row r="303" spans="1:42" outlineLevel="2" x14ac:dyDescent="0.2">
      <c r="A303" s="1075">
        <v>506</v>
      </c>
      <c r="B303" s="1078">
        <v>5250803</v>
      </c>
      <c r="C303" s="1075">
        <v>52508033</v>
      </c>
      <c r="D303" s="1075" t="s">
        <v>1390</v>
      </c>
      <c r="E303" s="1075" t="s">
        <v>2178</v>
      </c>
      <c r="F303" s="1075">
        <v>817600</v>
      </c>
      <c r="G303" s="1075" t="s">
        <v>2107</v>
      </c>
      <c r="H303" s="1075">
        <v>90534</v>
      </c>
      <c r="I303" s="1075">
        <v>0</v>
      </c>
      <c r="J303" s="1075">
        <v>5</v>
      </c>
      <c r="K303" s="1075">
        <v>38</v>
      </c>
      <c r="L303" s="1075">
        <v>0</v>
      </c>
      <c r="M303" s="1075" t="s">
        <v>3183</v>
      </c>
      <c r="N303" s="1075" t="s">
        <v>3183</v>
      </c>
      <c r="O303" s="1077">
        <f>P303/100</f>
        <v>1</v>
      </c>
      <c r="P303" s="1075">
        <v>100</v>
      </c>
      <c r="Q303" s="1074">
        <v>7891.86</v>
      </c>
      <c r="R303" s="1074">
        <v>639.9</v>
      </c>
      <c r="S303" s="1074">
        <v>232.61</v>
      </c>
      <c r="T303" s="1074">
        <v>6529.65</v>
      </c>
      <c r="U303" s="1074">
        <v>0</v>
      </c>
      <c r="V303" s="1074">
        <v>0</v>
      </c>
      <c r="W303" s="1074">
        <v>0</v>
      </c>
      <c r="X303" s="1074">
        <v>0</v>
      </c>
      <c r="Y303" s="1074">
        <v>261.60000000000002</v>
      </c>
      <c r="Z303" s="1074">
        <v>0</v>
      </c>
      <c r="AA303" s="1074">
        <v>6268.05</v>
      </c>
      <c r="AB303" s="1074">
        <v>489.7</v>
      </c>
      <c r="AC303" s="1074">
        <v>0</v>
      </c>
      <c r="AD303" s="1074">
        <v>0</v>
      </c>
      <c r="AE303" s="1074">
        <v>1817600</v>
      </c>
      <c r="AF303" s="1074" t="s">
        <v>251</v>
      </c>
      <c r="AG303" s="1095">
        <f>VLOOKUP(B303,עזר!A$2:B$329,2,FALSE)</f>
        <v>79466.100000000006</v>
      </c>
      <c r="AH303" s="1074">
        <f>Q303*3</f>
        <v>23675.579999999998</v>
      </c>
      <c r="AI303" s="1074">
        <f>AH303+AG303</f>
        <v>103141.68000000001</v>
      </c>
      <c r="AJ303" s="1077">
        <f>VLOOKUP(B303,Sheet1!D$2:K$430,7,FALSE)</f>
        <v>1</v>
      </c>
      <c r="AK303" s="1074">
        <f>VLOOKUP(B303,Sheet1!D$2:L$430,8,FALSE)</f>
        <v>95106</v>
      </c>
      <c r="AL303" s="1109">
        <f>O303</f>
        <v>1</v>
      </c>
      <c r="AM303" s="1074">
        <f>AI303*1.02</f>
        <v>105204.51360000001</v>
      </c>
      <c r="AN303" s="1085">
        <f>AL303</f>
        <v>1</v>
      </c>
      <c r="AO303" s="1074">
        <f>AM303</f>
        <v>105204.51360000001</v>
      </c>
      <c r="AP303" s="1080"/>
    </row>
    <row r="304" spans="1:42" outlineLevel="2" x14ac:dyDescent="0.2">
      <c r="A304" s="1075">
        <v>506</v>
      </c>
      <c r="B304" s="1078">
        <v>5703154</v>
      </c>
      <c r="C304" s="1075">
        <v>57031544</v>
      </c>
      <c r="D304" s="1075" t="s">
        <v>1459</v>
      </c>
      <c r="E304" s="1075" t="s">
        <v>2195</v>
      </c>
      <c r="F304" s="1075">
        <v>817600</v>
      </c>
      <c r="G304" s="1075" t="s">
        <v>2107</v>
      </c>
      <c r="H304" s="1075">
        <v>90534</v>
      </c>
      <c r="I304" s="1075">
        <v>1</v>
      </c>
      <c r="J304" s="1075">
        <v>0</v>
      </c>
      <c r="K304" s="1075">
        <v>0</v>
      </c>
      <c r="L304" s="1075">
        <v>0</v>
      </c>
      <c r="M304" s="1075" t="s">
        <v>3183</v>
      </c>
      <c r="N304" s="1075" t="s">
        <v>3183</v>
      </c>
      <c r="O304" s="1077">
        <f>P304/100</f>
        <v>0</v>
      </c>
      <c r="P304" s="1075">
        <v>0</v>
      </c>
      <c r="Q304" s="1074">
        <v>5865.75</v>
      </c>
      <c r="R304" s="1074">
        <v>606</v>
      </c>
      <c r="S304" s="1074">
        <v>163.55000000000001</v>
      </c>
      <c r="T304" s="1074">
        <v>4740.6499999999996</v>
      </c>
      <c r="U304" s="1074">
        <v>0</v>
      </c>
      <c r="V304" s="1074">
        <v>0</v>
      </c>
      <c r="W304" s="1074">
        <v>0</v>
      </c>
      <c r="X304" s="1074">
        <v>0</v>
      </c>
      <c r="Y304" s="1074">
        <v>251.7</v>
      </c>
      <c r="Z304" s="1074">
        <v>0</v>
      </c>
      <c r="AA304" s="1074">
        <v>4488.95</v>
      </c>
      <c r="AB304" s="1074">
        <v>355.55</v>
      </c>
      <c r="AC304" s="1074">
        <v>0</v>
      </c>
      <c r="AD304" s="1074">
        <v>0</v>
      </c>
      <c r="AE304" s="1074">
        <v>1817600</v>
      </c>
      <c r="AF304" s="1074" t="s">
        <v>251</v>
      </c>
      <c r="AG304" s="1095">
        <f>VLOOKUP(B304,עזר!A$2:B$329,2,FALSE)</f>
        <v>41009.800000000003</v>
      </c>
      <c r="AH304" s="1074">
        <f>Q304*3</f>
        <v>17597.25</v>
      </c>
      <c r="AI304" s="1074">
        <f>AH304+AG304</f>
        <v>58607.05</v>
      </c>
      <c r="AJ304" s="1077">
        <f>VLOOKUP(B304,Sheet1!D$2:K$430,7,FALSE)</f>
        <v>0</v>
      </c>
      <c r="AK304" s="1074">
        <f>VLOOKUP(B304,Sheet1!D$2:L$430,8,FALSE)</f>
        <v>0</v>
      </c>
      <c r="AL304" s="1109">
        <f>O304</f>
        <v>0</v>
      </c>
      <c r="AM304" s="1074">
        <f>AI304*1.02</f>
        <v>59779.191000000006</v>
      </c>
      <c r="AN304" s="1085">
        <f>AL304</f>
        <v>0</v>
      </c>
      <c r="AO304" s="1074">
        <f>AM304</f>
        <v>59779.191000000006</v>
      </c>
      <c r="AP304" s="1080"/>
    </row>
    <row r="305" spans="1:42" outlineLevel="1" x14ac:dyDescent="0.2">
      <c r="B305" s="1078"/>
      <c r="F305" s="1088" t="s">
        <v>3119</v>
      </c>
      <c r="O305" s="1077">
        <f>SUBTOTAL(9,O303:O304)</f>
        <v>1</v>
      </c>
      <c r="Q305" s="1074">
        <f>SUBTOTAL(9,Q303:Q304)</f>
        <v>13757.61</v>
      </c>
      <c r="R305" s="1074"/>
      <c r="S305" s="1074"/>
      <c r="T305" s="1074"/>
      <c r="U305" s="1074"/>
      <c r="V305" s="1074"/>
      <c r="W305" s="1074"/>
      <c r="X305" s="1074"/>
      <c r="Y305" s="1074"/>
      <c r="Z305" s="1074"/>
      <c r="AA305" s="1074"/>
      <c r="AB305" s="1074"/>
      <c r="AC305" s="1074"/>
      <c r="AD305" s="1074"/>
      <c r="AE305" s="1074"/>
      <c r="AF305" s="1074"/>
      <c r="AG305" s="1095">
        <f t="shared" ref="AG305:AM305" si="142">SUBTOTAL(9,AG303:AG304)</f>
        <v>120475.90000000001</v>
      </c>
      <c r="AH305" s="1074">
        <f t="shared" si="142"/>
        <v>41272.83</v>
      </c>
      <c r="AI305" s="1074">
        <f t="shared" si="142"/>
        <v>161748.73000000001</v>
      </c>
      <c r="AJ305" s="1077">
        <f t="shared" si="142"/>
        <v>1</v>
      </c>
      <c r="AK305" s="1074">
        <f t="shared" si="142"/>
        <v>95106</v>
      </c>
      <c r="AL305" s="1109">
        <f t="shared" si="142"/>
        <v>1</v>
      </c>
      <c r="AM305" s="1074">
        <f t="shared" si="142"/>
        <v>164983.7046</v>
      </c>
      <c r="AP305" s="1080">
        <f>SUBTOTAL(9,AP303:AP304)</f>
        <v>0</v>
      </c>
    </row>
    <row r="306" spans="1:42" outlineLevel="2" x14ac:dyDescent="0.2">
      <c r="A306" s="1075">
        <v>506</v>
      </c>
      <c r="B306" s="1078">
        <v>2635430</v>
      </c>
      <c r="C306" s="1075">
        <v>26354308</v>
      </c>
      <c r="D306" s="1075" t="s">
        <v>1390</v>
      </c>
      <c r="E306" s="1075" t="s">
        <v>2244</v>
      </c>
      <c r="F306" s="1075">
        <v>817700</v>
      </c>
      <c r="G306" s="1075" t="s">
        <v>2107</v>
      </c>
      <c r="H306" s="1075">
        <v>90534</v>
      </c>
      <c r="I306" s="1075">
        <v>0</v>
      </c>
      <c r="J306" s="1075">
        <v>3</v>
      </c>
      <c r="K306" s="1075">
        <v>2</v>
      </c>
      <c r="L306" s="1075">
        <v>0</v>
      </c>
      <c r="M306" s="1075" t="s">
        <v>3072</v>
      </c>
      <c r="N306" s="1075" t="s">
        <v>3072</v>
      </c>
      <c r="O306" s="1077">
        <f>P306/100</f>
        <v>0.5</v>
      </c>
      <c r="P306" s="1075">
        <v>50</v>
      </c>
      <c r="Q306" s="1074">
        <v>5575.73</v>
      </c>
      <c r="R306" s="1074">
        <v>946</v>
      </c>
      <c r="S306" s="1074">
        <v>143.96</v>
      </c>
      <c r="T306" s="1074">
        <v>4172.82</v>
      </c>
      <c r="U306" s="1074">
        <v>0</v>
      </c>
      <c r="V306" s="1074">
        <v>0</v>
      </c>
      <c r="W306" s="1074">
        <v>0</v>
      </c>
      <c r="X306" s="1074">
        <v>0</v>
      </c>
      <c r="Y306" s="1074">
        <v>150.15</v>
      </c>
      <c r="Z306" s="1074">
        <v>0</v>
      </c>
      <c r="AA306" s="1074">
        <v>4022.67</v>
      </c>
      <c r="AB306" s="1074">
        <v>312.95</v>
      </c>
      <c r="AC306" s="1074">
        <v>0</v>
      </c>
      <c r="AD306" s="1074">
        <v>0</v>
      </c>
      <c r="AE306" s="1074">
        <v>1817700</v>
      </c>
      <c r="AF306" s="1074" t="s">
        <v>251</v>
      </c>
      <c r="AG306" s="1095">
        <f>VLOOKUP(B306,עזר!A$2:B$329,2,FALSE)</f>
        <v>54261.06</v>
      </c>
      <c r="AH306" s="1074">
        <f>Q306*3</f>
        <v>16727.189999999999</v>
      </c>
      <c r="AI306" s="1074">
        <f>AH306+AG306</f>
        <v>70988.25</v>
      </c>
      <c r="AJ306" s="1077">
        <f>VLOOKUP(B306,Sheet1!D$2:K$430,7,FALSE)</f>
        <v>0.6</v>
      </c>
      <c r="AK306" s="1074">
        <f>VLOOKUP(B306,Sheet1!D$2:L$430,8,FALSE)</f>
        <v>68200</v>
      </c>
      <c r="AL306" s="1109">
        <f>O306</f>
        <v>0.5</v>
      </c>
      <c r="AM306" s="1074">
        <f>AI306*1.02</f>
        <v>72408.014999999999</v>
      </c>
      <c r="AN306" s="1085">
        <f>AL306</f>
        <v>0.5</v>
      </c>
      <c r="AO306" s="1074">
        <f>AM306</f>
        <v>72408.014999999999</v>
      </c>
      <c r="AP306" s="1080"/>
    </row>
    <row r="307" spans="1:42" outlineLevel="2" x14ac:dyDescent="0.2">
      <c r="A307" s="1075">
        <v>506</v>
      </c>
      <c r="B307" s="1078">
        <v>99999</v>
      </c>
      <c r="C307" s="1075">
        <v>999999</v>
      </c>
      <c r="D307" s="1075" t="s">
        <v>2375</v>
      </c>
      <c r="E307" s="1075" t="s">
        <v>2130</v>
      </c>
      <c r="F307" s="1075">
        <v>817700</v>
      </c>
      <c r="M307" s="1075" t="s">
        <v>131</v>
      </c>
      <c r="N307" s="1075" t="s">
        <v>1630</v>
      </c>
      <c r="O307" s="1077">
        <v>0</v>
      </c>
      <c r="Q307" s="1085">
        <v>0</v>
      </c>
      <c r="R307" s="1085"/>
      <c r="S307" s="1085"/>
      <c r="T307" s="1085"/>
      <c r="U307" s="1085"/>
      <c r="V307" s="1085"/>
      <c r="W307" s="1085"/>
      <c r="X307" s="1085"/>
      <c r="Y307" s="1085"/>
      <c r="Z307" s="1085"/>
      <c r="AA307" s="1085"/>
      <c r="AB307" s="1085"/>
      <c r="AC307" s="1085"/>
      <c r="AD307" s="1085"/>
      <c r="AE307" s="1085"/>
      <c r="AF307" s="1085"/>
      <c r="AG307" s="1096">
        <v>0</v>
      </c>
      <c r="AH307" s="1085">
        <f>Q307*3</f>
        <v>0</v>
      </c>
      <c r="AI307" s="1085">
        <v>0</v>
      </c>
      <c r="AJ307" s="1077">
        <v>0.5</v>
      </c>
      <c r="AK307" s="1074">
        <v>35000</v>
      </c>
      <c r="AL307" s="1109">
        <v>0.5</v>
      </c>
      <c r="AM307" s="1074">
        <v>60000</v>
      </c>
      <c r="AN307" s="1085">
        <f>AL307</f>
        <v>0.5</v>
      </c>
      <c r="AO307" s="1074">
        <f>AM307</f>
        <v>60000</v>
      </c>
      <c r="AP307" s="1080"/>
    </row>
    <row r="308" spans="1:42" outlineLevel="1" x14ac:dyDescent="0.2">
      <c r="B308" s="1078"/>
      <c r="F308" s="1088" t="s">
        <v>3120</v>
      </c>
      <c r="O308" s="1077">
        <f>SUBTOTAL(9,O306:O307)</f>
        <v>0.5</v>
      </c>
      <c r="Q308" s="1085">
        <f>SUBTOTAL(9,Q306:Q307)</f>
        <v>5575.73</v>
      </c>
      <c r="R308" s="1085"/>
      <c r="S308" s="1085"/>
      <c r="T308" s="1085"/>
      <c r="U308" s="1085"/>
      <c r="V308" s="1085"/>
      <c r="W308" s="1085"/>
      <c r="X308" s="1085"/>
      <c r="Y308" s="1085"/>
      <c r="Z308" s="1085"/>
      <c r="AA308" s="1085"/>
      <c r="AB308" s="1085"/>
      <c r="AC308" s="1085"/>
      <c r="AD308" s="1085"/>
      <c r="AE308" s="1085"/>
      <c r="AF308" s="1085"/>
      <c r="AG308" s="1096">
        <f t="shared" ref="AG308:AM308" si="143">SUBTOTAL(9,AG306:AG307)</f>
        <v>54261.06</v>
      </c>
      <c r="AH308" s="1085">
        <f t="shared" si="143"/>
        <v>16727.189999999999</v>
      </c>
      <c r="AI308" s="1085">
        <f t="shared" si="143"/>
        <v>70988.25</v>
      </c>
      <c r="AJ308" s="1077">
        <f t="shared" si="143"/>
        <v>1.1000000000000001</v>
      </c>
      <c r="AK308" s="1074">
        <f t="shared" si="143"/>
        <v>103200</v>
      </c>
      <c r="AL308" s="1109">
        <f t="shared" si="143"/>
        <v>1</v>
      </c>
      <c r="AM308" s="1074">
        <f t="shared" si="143"/>
        <v>132408.01500000001</v>
      </c>
      <c r="AP308" s="1080">
        <f>SUBTOTAL(9,AP306:AP307)</f>
        <v>0</v>
      </c>
    </row>
    <row r="309" spans="1:42" outlineLevel="2" x14ac:dyDescent="0.2">
      <c r="A309" s="1075">
        <v>506</v>
      </c>
      <c r="B309" s="1075">
        <v>2478126</v>
      </c>
      <c r="C309" s="1075">
        <v>24781262</v>
      </c>
      <c r="D309" s="1075" t="s">
        <v>2173</v>
      </c>
      <c r="E309" s="1075" t="s">
        <v>2116</v>
      </c>
      <c r="F309" s="1075">
        <v>817800</v>
      </c>
      <c r="G309" s="1075" t="s">
        <v>2384</v>
      </c>
      <c r="H309" s="1075">
        <v>90534</v>
      </c>
      <c r="I309" s="1075">
        <v>1</v>
      </c>
      <c r="J309" s="1075">
        <v>0</v>
      </c>
      <c r="K309" s="1075">
        <v>0</v>
      </c>
      <c r="L309" s="1075">
        <v>0</v>
      </c>
      <c r="O309" s="1077">
        <v>0</v>
      </c>
      <c r="Q309" s="1074">
        <v>0</v>
      </c>
      <c r="R309" s="1074"/>
      <c r="S309" s="1074"/>
      <c r="T309" s="1074"/>
      <c r="U309" s="1074"/>
      <c r="V309" s="1074"/>
      <c r="W309" s="1074"/>
      <c r="X309" s="1074"/>
      <c r="Y309" s="1074"/>
      <c r="Z309" s="1074"/>
      <c r="AA309" s="1074"/>
      <c r="AB309" s="1074"/>
      <c r="AC309" s="1074"/>
      <c r="AD309" s="1074"/>
      <c r="AE309" s="1074"/>
      <c r="AF309" s="1074"/>
      <c r="AG309" s="1095">
        <f>VLOOKUP(B309,עזר!A$2:B$329,2,FALSE)</f>
        <v>3148.25</v>
      </c>
      <c r="AH309" s="1074">
        <f t="shared" ref="AH309:AH325" si="144">Q309*3</f>
        <v>0</v>
      </c>
      <c r="AI309" s="1074">
        <f t="shared" ref="AI309:AI325" si="145">AH309+AG309</f>
        <v>3148.25</v>
      </c>
      <c r="AJ309" s="1077">
        <v>0</v>
      </c>
      <c r="AK309" s="1074">
        <v>0</v>
      </c>
      <c r="AL309" s="1109">
        <f t="shared" ref="AL309:AL326" si="146">O309</f>
        <v>0</v>
      </c>
      <c r="AM309" s="1074">
        <v>0</v>
      </c>
      <c r="AN309" s="1085">
        <f t="shared" ref="AN309:AN326" si="147">AL309</f>
        <v>0</v>
      </c>
      <c r="AO309" s="1074">
        <f t="shared" ref="AO309:AO326" si="148">AM309</f>
        <v>0</v>
      </c>
      <c r="AP309" s="1080"/>
    </row>
    <row r="310" spans="1:42" outlineLevel="2" x14ac:dyDescent="0.2">
      <c r="A310" s="1075">
        <v>506</v>
      </c>
      <c r="B310" s="1078">
        <v>2593019</v>
      </c>
      <c r="C310" s="1075">
        <v>25930199</v>
      </c>
      <c r="D310" s="1075" t="s">
        <v>2245</v>
      </c>
      <c r="E310" s="1075" t="s">
        <v>2246</v>
      </c>
      <c r="F310" s="1075">
        <v>817800</v>
      </c>
      <c r="G310" s="1075" t="s">
        <v>2107</v>
      </c>
      <c r="H310" s="1075">
        <v>90534</v>
      </c>
      <c r="I310" s="1075">
        <v>1</v>
      </c>
      <c r="J310" s="1075">
        <v>0</v>
      </c>
      <c r="K310" s="1075">
        <v>0</v>
      </c>
      <c r="L310" s="1075">
        <v>0</v>
      </c>
      <c r="O310" s="1077">
        <f>P310/100</f>
        <v>0</v>
      </c>
      <c r="P310" s="1075">
        <v>0</v>
      </c>
      <c r="Q310" s="1074">
        <v>1245.99</v>
      </c>
      <c r="R310" s="1074">
        <v>127</v>
      </c>
      <c r="S310" s="1074">
        <v>34.79</v>
      </c>
      <c r="T310" s="1074">
        <v>1008.55</v>
      </c>
      <c r="U310" s="1074">
        <v>0</v>
      </c>
      <c r="V310" s="1074">
        <v>0</v>
      </c>
      <c r="W310" s="1074">
        <v>0</v>
      </c>
      <c r="X310" s="1074">
        <v>0</v>
      </c>
      <c r="Y310" s="1074">
        <v>67.75</v>
      </c>
      <c r="Z310" s="1074">
        <v>0</v>
      </c>
      <c r="AA310" s="1074">
        <v>940.8</v>
      </c>
      <c r="AB310" s="1074">
        <v>75.650000000000006</v>
      </c>
      <c r="AC310" s="1074">
        <v>0</v>
      </c>
      <c r="AD310" s="1074">
        <v>0</v>
      </c>
      <c r="AE310" s="1074">
        <v>1817800</v>
      </c>
      <c r="AF310" s="1074" t="s">
        <v>251</v>
      </c>
      <c r="AG310" s="1095">
        <f>VLOOKUP(B310,עזר!A$2:B$329,2,FALSE)</f>
        <v>20562.02</v>
      </c>
      <c r="AH310" s="1074">
        <f t="shared" si="144"/>
        <v>3737.9700000000003</v>
      </c>
      <c r="AI310" s="1074">
        <f t="shared" si="145"/>
        <v>24299.99</v>
      </c>
      <c r="AJ310" s="1077">
        <v>0</v>
      </c>
      <c r="AK310" s="1074">
        <v>0</v>
      </c>
      <c r="AL310" s="1109">
        <f t="shared" si="146"/>
        <v>0</v>
      </c>
      <c r="AM310" s="1074">
        <v>0</v>
      </c>
      <c r="AN310" s="1085">
        <f t="shared" si="147"/>
        <v>0</v>
      </c>
      <c r="AO310" s="1074">
        <f t="shared" si="148"/>
        <v>0</v>
      </c>
      <c r="AP310" s="1080"/>
    </row>
    <row r="311" spans="1:42" outlineLevel="2" x14ac:dyDescent="0.2">
      <c r="A311" s="1075">
        <v>506</v>
      </c>
      <c r="B311" s="1075">
        <v>3582089</v>
      </c>
      <c r="C311" s="1075">
        <v>35820893</v>
      </c>
      <c r="D311" s="1075" t="s">
        <v>2112</v>
      </c>
      <c r="E311" s="1075" t="s">
        <v>2422</v>
      </c>
      <c r="F311" s="1075">
        <v>817800</v>
      </c>
      <c r="G311" s="1075" t="s">
        <v>2384</v>
      </c>
      <c r="H311" s="1075">
        <v>90534</v>
      </c>
      <c r="I311" s="1075">
        <v>1</v>
      </c>
      <c r="J311" s="1075">
        <v>0</v>
      </c>
      <c r="K311" s="1075">
        <v>0</v>
      </c>
      <c r="L311" s="1075">
        <v>0</v>
      </c>
      <c r="O311" s="1077">
        <v>0</v>
      </c>
      <c r="Q311" s="1074">
        <v>0</v>
      </c>
      <c r="R311" s="1074"/>
      <c r="S311" s="1074"/>
      <c r="T311" s="1074"/>
      <c r="U311" s="1074"/>
      <c r="V311" s="1074"/>
      <c r="W311" s="1074"/>
      <c r="X311" s="1074"/>
      <c r="Y311" s="1074"/>
      <c r="Z311" s="1074"/>
      <c r="AA311" s="1074"/>
      <c r="AB311" s="1074"/>
      <c r="AC311" s="1074"/>
      <c r="AD311" s="1074"/>
      <c r="AE311" s="1074"/>
      <c r="AF311" s="1074"/>
      <c r="AG311" s="1095">
        <f>VLOOKUP(B311,עזר!A$2:B$329,2,FALSE)</f>
        <v>55446.559999999998</v>
      </c>
      <c r="AH311" s="1074">
        <f t="shared" si="144"/>
        <v>0</v>
      </c>
      <c r="AI311" s="1074">
        <f t="shared" si="145"/>
        <v>55446.559999999998</v>
      </c>
      <c r="AJ311" s="1077">
        <v>0</v>
      </c>
      <c r="AK311" s="1074">
        <v>0</v>
      </c>
      <c r="AL311" s="1109">
        <f t="shared" si="146"/>
        <v>0</v>
      </c>
      <c r="AM311" s="1074">
        <v>0</v>
      </c>
      <c r="AN311" s="1085">
        <f t="shared" si="147"/>
        <v>0</v>
      </c>
      <c r="AO311" s="1074">
        <f t="shared" si="148"/>
        <v>0</v>
      </c>
      <c r="AP311" s="1080"/>
    </row>
    <row r="312" spans="1:42" outlineLevel="2" x14ac:dyDescent="0.2">
      <c r="A312" s="1075">
        <v>506</v>
      </c>
      <c r="B312" s="1075">
        <v>3599629</v>
      </c>
      <c r="C312" s="1075">
        <v>35996297</v>
      </c>
      <c r="D312" s="1075" t="s">
        <v>2423</v>
      </c>
      <c r="E312" s="1075" t="s">
        <v>2424</v>
      </c>
      <c r="F312" s="1075">
        <v>817800</v>
      </c>
      <c r="G312" s="1075" t="s">
        <v>2384</v>
      </c>
      <c r="H312" s="1075">
        <v>90534</v>
      </c>
      <c r="I312" s="1075">
        <v>1</v>
      </c>
      <c r="J312" s="1075">
        <v>0</v>
      </c>
      <c r="K312" s="1075">
        <v>0</v>
      </c>
      <c r="L312" s="1075">
        <v>0</v>
      </c>
      <c r="O312" s="1077">
        <v>0</v>
      </c>
      <c r="Q312" s="1074">
        <v>0</v>
      </c>
      <c r="R312" s="1074"/>
      <c r="S312" s="1074"/>
      <c r="T312" s="1074"/>
      <c r="U312" s="1074"/>
      <c r="V312" s="1074"/>
      <c r="W312" s="1074"/>
      <c r="X312" s="1074"/>
      <c r="Y312" s="1074"/>
      <c r="Z312" s="1074"/>
      <c r="AA312" s="1074"/>
      <c r="AB312" s="1074"/>
      <c r="AC312" s="1074"/>
      <c r="AD312" s="1074"/>
      <c r="AE312" s="1074"/>
      <c r="AF312" s="1074"/>
      <c r="AG312" s="1095">
        <f>VLOOKUP(B312,עזר!A$2:B$329,2,FALSE)</f>
        <v>6214.54</v>
      </c>
      <c r="AH312" s="1074">
        <f t="shared" si="144"/>
        <v>0</v>
      </c>
      <c r="AI312" s="1074">
        <f t="shared" si="145"/>
        <v>6214.54</v>
      </c>
      <c r="AJ312" s="1077">
        <v>0</v>
      </c>
      <c r="AK312" s="1074">
        <v>0</v>
      </c>
      <c r="AL312" s="1109">
        <f t="shared" si="146"/>
        <v>0</v>
      </c>
      <c r="AM312" s="1074">
        <v>0</v>
      </c>
      <c r="AN312" s="1085">
        <f t="shared" si="147"/>
        <v>0</v>
      </c>
      <c r="AO312" s="1074">
        <f t="shared" si="148"/>
        <v>0</v>
      </c>
      <c r="AP312" s="1080"/>
    </row>
    <row r="313" spans="1:42" outlineLevel="2" x14ac:dyDescent="0.2">
      <c r="A313" s="1075">
        <v>506</v>
      </c>
      <c r="B313" s="1075">
        <v>3942407</v>
      </c>
      <c r="C313" s="1075">
        <v>39424072</v>
      </c>
      <c r="D313" s="1075" t="s">
        <v>2111</v>
      </c>
      <c r="E313" s="1075" t="s">
        <v>2425</v>
      </c>
      <c r="F313" s="1075">
        <v>817800</v>
      </c>
      <c r="G313" s="1075" t="s">
        <v>2384</v>
      </c>
      <c r="H313" s="1075">
        <v>90534</v>
      </c>
      <c r="I313" s="1075">
        <v>1</v>
      </c>
      <c r="J313" s="1075">
        <v>0</v>
      </c>
      <c r="K313" s="1075">
        <v>0</v>
      </c>
      <c r="L313" s="1075">
        <v>0</v>
      </c>
      <c r="O313" s="1077">
        <v>0</v>
      </c>
      <c r="Q313" s="1074">
        <v>0</v>
      </c>
      <c r="R313" s="1074"/>
      <c r="S313" s="1074"/>
      <c r="T313" s="1074"/>
      <c r="U313" s="1074"/>
      <c r="V313" s="1074"/>
      <c r="W313" s="1074"/>
      <c r="X313" s="1074"/>
      <c r="Y313" s="1074"/>
      <c r="Z313" s="1074"/>
      <c r="AA313" s="1074"/>
      <c r="AB313" s="1074"/>
      <c r="AC313" s="1074"/>
      <c r="AD313" s="1074"/>
      <c r="AE313" s="1074"/>
      <c r="AF313" s="1074"/>
      <c r="AG313" s="1095">
        <f>VLOOKUP(B313,עזר!A$2:B$329,2,FALSE)</f>
        <v>5593.01</v>
      </c>
      <c r="AH313" s="1074">
        <f t="shared" si="144"/>
        <v>0</v>
      </c>
      <c r="AI313" s="1074">
        <f t="shared" si="145"/>
        <v>5593.01</v>
      </c>
      <c r="AJ313" s="1077">
        <v>0</v>
      </c>
      <c r="AK313" s="1074">
        <v>0</v>
      </c>
      <c r="AL313" s="1109">
        <f t="shared" si="146"/>
        <v>0</v>
      </c>
      <c r="AM313" s="1074">
        <v>0</v>
      </c>
      <c r="AN313" s="1085">
        <f t="shared" si="147"/>
        <v>0</v>
      </c>
      <c r="AO313" s="1074">
        <f t="shared" si="148"/>
        <v>0</v>
      </c>
      <c r="AP313" s="1080"/>
    </row>
    <row r="314" spans="1:42" outlineLevel="2" x14ac:dyDescent="0.2">
      <c r="A314" s="1075">
        <v>506</v>
      </c>
      <c r="B314" s="1075">
        <v>3980887</v>
      </c>
      <c r="C314" s="1075">
        <v>39808878</v>
      </c>
      <c r="D314" s="1075" t="s">
        <v>2283</v>
      </c>
      <c r="E314" s="1075" t="s">
        <v>2426</v>
      </c>
      <c r="F314" s="1075">
        <v>817800</v>
      </c>
      <c r="G314" s="1075" t="s">
        <v>2384</v>
      </c>
      <c r="H314" s="1075">
        <v>90534</v>
      </c>
      <c r="I314" s="1075">
        <v>1</v>
      </c>
      <c r="J314" s="1075">
        <v>0</v>
      </c>
      <c r="K314" s="1075">
        <v>0</v>
      </c>
      <c r="L314" s="1075">
        <v>0</v>
      </c>
      <c r="O314" s="1077">
        <v>0</v>
      </c>
      <c r="Q314" s="1074">
        <v>0</v>
      </c>
      <c r="R314" s="1074"/>
      <c r="S314" s="1074"/>
      <c r="T314" s="1074"/>
      <c r="U314" s="1074"/>
      <c r="V314" s="1074"/>
      <c r="W314" s="1074"/>
      <c r="X314" s="1074"/>
      <c r="Y314" s="1074"/>
      <c r="Z314" s="1074"/>
      <c r="AA314" s="1074"/>
      <c r="AB314" s="1074"/>
      <c r="AC314" s="1074"/>
      <c r="AD314" s="1074"/>
      <c r="AE314" s="1074"/>
      <c r="AF314" s="1074"/>
      <c r="AG314" s="1095">
        <f>VLOOKUP(B314,עזר!A$2:B$329,2,FALSE)</f>
        <v>2961.91</v>
      </c>
      <c r="AH314" s="1074">
        <f t="shared" si="144"/>
        <v>0</v>
      </c>
      <c r="AI314" s="1074">
        <f t="shared" si="145"/>
        <v>2961.91</v>
      </c>
      <c r="AJ314" s="1077">
        <v>0</v>
      </c>
      <c r="AK314" s="1074">
        <v>0</v>
      </c>
      <c r="AL314" s="1109">
        <f t="shared" si="146"/>
        <v>0</v>
      </c>
      <c r="AM314" s="1074">
        <v>0</v>
      </c>
      <c r="AN314" s="1085">
        <f t="shared" si="147"/>
        <v>0</v>
      </c>
      <c r="AO314" s="1074">
        <f t="shared" si="148"/>
        <v>0</v>
      </c>
      <c r="AP314" s="1080"/>
    </row>
    <row r="315" spans="1:42" outlineLevel="2" x14ac:dyDescent="0.2">
      <c r="A315" s="1075">
        <v>506</v>
      </c>
      <c r="B315" s="1075">
        <v>4049682</v>
      </c>
      <c r="C315" s="1075">
        <v>40496820</v>
      </c>
      <c r="D315" s="1075" t="s">
        <v>2407</v>
      </c>
      <c r="E315" s="1075" t="s">
        <v>2408</v>
      </c>
      <c r="F315" s="1075">
        <v>817800</v>
      </c>
      <c r="G315" s="1075" t="s">
        <v>2384</v>
      </c>
      <c r="H315" s="1075">
        <v>90534</v>
      </c>
      <c r="I315" s="1075">
        <v>1</v>
      </c>
      <c r="J315" s="1075">
        <v>0</v>
      </c>
      <c r="K315" s="1075">
        <v>0</v>
      </c>
      <c r="L315" s="1075">
        <v>0</v>
      </c>
      <c r="O315" s="1077">
        <v>0</v>
      </c>
      <c r="Q315" s="1074">
        <v>0</v>
      </c>
      <c r="R315" s="1074"/>
      <c r="S315" s="1074"/>
      <c r="T315" s="1074"/>
      <c r="U315" s="1074"/>
      <c r="V315" s="1074"/>
      <c r="W315" s="1074"/>
      <c r="X315" s="1074"/>
      <c r="Y315" s="1074"/>
      <c r="Z315" s="1074"/>
      <c r="AA315" s="1074"/>
      <c r="AB315" s="1074"/>
      <c r="AC315" s="1074"/>
      <c r="AD315" s="1074"/>
      <c r="AE315" s="1074"/>
      <c r="AF315" s="1074"/>
      <c r="AG315" s="1095">
        <v>0</v>
      </c>
      <c r="AH315" s="1074">
        <f t="shared" si="144"/>
        <v>0</v>
      </c>
      <c r="AI315" s="1074">
        <f t="shared" si="145"/>
        <v>0</v>
      </c>
      <c r="AJ315" s="1077">
        <v>0</v>
      </c>
      <c r="AK315" s="1074">
        <v>0</v>
      </c>
      <c r="AL315" s="1109">
        <f t="shared" si="146"/>
        <v>0</v>
      </c>
      <c r="AM315" s="1074">
        <f>AI315*1.02</f>
        <v>0</v>
      </c>
      <c r="AN315" s="1085">
        <f t="shared" si="147"/>
        <v>0</v>
      </c>
      <c r="AO315" s="1074">
        <f t="shared" si="148"/>
        <v>0</v>
      </c>
      <c r="AP315" s="1080"/>
    </row>
    <row r="316" spans="1:42" outlineLevel="2" x14ac:dyDescent="0.2">
      <c r="A316" s="1075">
        <v>506</v>
      </c>
      <c r="B316" s="1075">
        <v>4051824</v>
      </c>
      <c r="C316" s="1075">
        <v>40518243</v>
      </c>
      <c r="D316" s="1075" t="s">
        <v>2427</v>
      </c>
      <c r="E316" s="1075" t="s">
        <v>2428</v>
      </c>
      <c r="F316" s="1075">
        <v>817800</v>
      </c>
      <c r="G316" s="1075" t="s">
        <v>2384</v>
      </c>
      <c r="H316" s="1075">
        <v>90534</v>
      </c>
      <c r="I316" s="1075">
        <v>1</v>
      </c>
      <c r="J316" s="1075">
        <v>0</v>
      </c>
      <c r="K316" s="1075">
        <v>0</v>
      </c>
      <c r="L316" s="1075">
        <v>0</v>
      </c>
      <c r="O316" s="1077">
        <v>0</v>
      </c>
      <c r="Q316" s="1074">
        <v>0</v>
      </c>
      <c r="R316" s="1074"/>
      <c r="S316" s="1074"/>
      <c r="T316" s="1074"/>
      <c r="U316" s="1074"/>
      <c r="V316" s="1074"/>
      <c r="W316" s="1074"/>
      <c r="X316" s="1074"/>
      <c r="Y316" s="1074"/>
      <c r="Z316" s="1074"/>
      <c r="AA316" s="1074"/>
      <c r="AB316" s="1074"/>
      <c r="AC316" s="1074"/>
      <c r="AD316" s="1074"/>
      <c r="AE316" s="1074"/>
      <c r="AF316" s="1074"/>
      <c r="AG316" s="1095">
        <f>VLOOKUP(B316,עזר!A$2:B$329,2,FALSE)</f>
        <v>5955.28</v>
      </c>
      <c r="AH316" s="1074">
        <f t="shared" si="144"/>
        <v>0</v>
      </c>
      <c r="AI316" s="1074">
        <f t="shared" si="145"/>
        <v>5955.28</v>
      </c>
      <c r="AJ316" s="1077">
        <v>0</v>
      </c>
      <c r="AK316" s="1074">
        <v>0</v>
      </c>
      <c r="AL316" s="1109">
        <f t="shared" si="146"/>
        <v>0</v>
      </c>
      <c r="AM316" s="1074">
        <v>0</v>
      </c>
      <c r="AN316" s="1085">
        <f t="shared" si="147"/>
        <v>0</v>
      </c>
      <c r="AO316" s="1074">
        <f t="shared" si="148"/>
        <v>0</v>
      </c>
      <c r="AP316" s="1080"/>
    </row>
    <row r="317" spans="1:42" outlineLevel="2" x14ac:dyDescent="0.2">
      <c r="A317" s="1075">
        <v>506</v>
      </c>
      <c r="B317" s="1075">
        <v>5631784</v>
      </c>
      <c r="C317" s="1075">
        <v>56317845</v>
      </c>
      <c r="D317" s="1075" t="s">
        <v>2429</v>
      </c>
      <c r="E317" s="1075" t="s">
        <v>2145</v>
      </c>
      <c r="F317" s="1075">
        <v>817800</v>
      </c>
      <c r="G317" s="1075" t="s">
        <v>2384</v>
      </c>
      <c r="H317" s="1075">
        <v>90534</v>
      </c>
      <c r="I317" s="1075">
        <v>1</v>
      </c>
      <c r="J317" s="1075">
        <v>0</v>
      </c>
      <c r="K317" s="1075">
        <v>0</v>
      </c>
      <c r="L317" s="1075">
        <v>0</v>
      </c>
      <c r="O317" s="1077">
        <v>0</v>
      </c>
      <c r="Q317" s="1074">
        <v>0</v>
      </c>
      <c r="R317" s="1074"/>
      <c r="S317" s="1074"/>
      <c r="T317" s="1074"/>
      <c r="U317" s="1074"/>
      <c r="V317" s="1074"/>
      <c r="W317" s="1074"/>
      <c r="X317" s="1074"/>
      <c r="Y317" s="1074"/>
      <c r="Z317" s="1074"/>
      <c r="AA317" s="1074"/>
      <c r="AB317" s="1074"/>
      <c r="AC317" s="1074"/>
      <c r="AD317" s="1074"/>
      <c r="AE317" s="1074"/>
      <c r="AF317" s="1074"/>
      <c r="AG317" s="1095">
        <f>VLOOKUP(B317,עזר!A$2:B$329,2,FALSE)</f>
        <v>10321.94</v>
      </c>
      <c r="AH317" s="1074">
        <f t="shared" si="144"/>
        <v>0</v>
      </c>
      <c r="AI317" s="1074">
        <f t="shared" si="145"/>
        <v>10321.94</v>
      </c>
      <c r="AJ317" s="1077">
        <v>0</v>
      </c>
      <c r="AK317" s="1074">
        <v>0</v>
      </c>
      <c r="AL317" s="1109">
        <f t="shared" si="146"/>
        <v>0</v>
      </c>
      <c r="AM317" s="1074">
        <v>0</v>
      </c>
      <c r="AN317" s="1085">
        <f t="shared" si="147"/>
        <v>0</v>
      </c>
      <c r="AO317" s="1074">
        <f t="shared" si="148"/>
        <v>0</v>
      </c>
      <c r="AP317" s="1080"/>
    </row>
    <row r="318" spans="1:42" outlineLevel="2" x14ac:dyDescent="0.2">
      <c r="A318" s="1075">
        <v>506</v>
      </c>
      <c r="B318" s="1075">
        <v>20101925</v>
      </c>
      <c r="C318" s="1075">
        <v>201019254</v>
      </c>
      <c r="D318" s="1075" t="s">
        <v>2366</v>
      </c>
      <c r="E318" s="1075" t="s">
        <v>2430</v>
      </c>
      <c r="F318" s="1075">
        <v>817800</v>
      </c>
      <c r="G318" s="1075" t="s">
        <v>2384</v>
      </c>
      <c r="H318" s="1075">
        <v>90534</v>
      </c>
      <c r="I318" s="1075">
        <v>1</v>
      </c>
      <c r="J318" s="1075">
        <v>0</v>
      </c>
      <c r="K318" s="1075">
        <v>0</v>
      </c>
      <c r="L318" s="1075">
        <v>0</v>
      </c>
      <c r="O318" s="1077">
        <v>0</v>
      </c>
      <c r="Q318" s="1074">
        <v>0</v>
      </c>
      <c r="R318" s="1074"/>
      <c r="S318" s="1074"/>
      <c r="T318" s="1074"/>
      <c r="U318" s="1074"/>
      <c r="V318" s="1074"/>
      <c r="W318" s="1074"/>
      <c r="X318" s="1074"/>
      <c r="Y318" s="1074"/>
      <c r="Z318" s="1074"/>
      <c r="AA318" s="1074"/>
      <c r="AB318" s="1074"/>
      <c r="AC318" s="1074"/>
      <c r="AD318" s="1074"/>
      <c r="AE318" s="1074"/>
      <c r="AF318" s="1074"/>
      <c r="AG318" s="1095">
        <f>VLOOKUP(B318,עזר!A$2:B$329,2,FALSE)</f>
        <v>8160.14</v>
      </c>
      <c r="AH318" s="1074">
        <f t="shared" si="144"/>
        <v>0</v>
      </c>
      <c r="AI318" s="1074">
        <f t="shared" si="145"/>
        <v>8160.14</v>
      </c>
      <c r="AJ318" s="1077">
        <v>0</v>
      </c>
      <c r="AK318" s="1074">
        <v>0</v>
      </c>
      <c r="AL318" s="1109">
        <f t="shared" si="146"/>
        <v>0</v>
      </c>
      <c r="AM318" s="1074">
        <v>0</v>
      </c>
      <c r="AN318" s="1085">
        <f t="shared" si="147"/>
        <v>0</v>
      </c>
      <c r="AO318" s="1074">
        <f t="shared" si="148"/>
        <v>0</v>
      </c>
      <c r="AP318" s="1080"/>
    </row>
    <row r="319" spans="1:42" outlineLevel="2" x14ac:dyDescent="0.2">
      <c r="A319" s="1075">
        <v>506</v>
      </c>
      <c r="B319" s="1075">
        <v>20118879</v>
      </c>
      <c r="C319" s="1075">
        <v>201188794</v>
      </c>
      <c r="D319" s="1075" t="s">
        <v>2431</v>
      </c>
      <c r="E319" s="1075" t="s">
        <v>2432</v>
      </c>
      <c r="F319" s="1075">
        <v>817800</v>
      </c>
      <c r="G319" s="1075" t="s">
        <v>2384</v>
      </c>
      <c r="H319" s="1075">
        <v>90534</v>
      </c>
      <c r="I319" s="1075">
        <v>1</v>
      </c>
      <c r="J319" s="1075">
        <v>0</v>
      </c>
      <c r="K319" s="1075">
        <v>0</v>
      </c>
      <c r="L319" s="1075">
        <v>0</v>
      </c>
      <c r="O319" s="1077">
        <v>0</v>
      </c>
      <c r="Q319" s="1074">
        <v>0</v>
      </c>
      <c r="R319" s="1074"/>
      <c r="S319" s="1074"/>
      <c r="T319" s="1074"/>
      <c r="U319" s="1074"/>
      <c r="V319" s="1074"/>
      <c r="W319" s="1074"/>
      <c r="X319" s="1074"/>
      <c r="Y319" s="1074"/>
      <c r="Z319" s="1074"/>
      <c r="AA319" s="1074"/>
      <c r="AB319" s="1074"/>
      <c r="AC319" s="1074"/>
      <c r="AD319" s="1074"/>
      <c r="AE319" s="1074"/>
      <c r="AF319" s="1074"/>
      <c r="AG319" s="1095">
        <f>VLOOKUP(B319,עזר!A$2:B$329,2,FALSE)</f>
        <v>6903.98</v>
      </c>
      <c r="AH319" s="1074">
        <f t="shared" si="144"/>
        <v>0</v>
      </c>
      <c r="AI319" s="1074">
        <f t="shared" si="145"/>
        <v>6903.98</v>
      </c>
      <c r="AJ319" s="1077">
        <v>0</v>
      </c>
      <c r="AK319" s="1074">
        <v>0</v>
      </c>
      <c r="AL319" s="1109">
        <f t="shared" si="146"/>
        <v>0</v>
      </c>
      <c r="AM319" s="1074">
        <v>0</v>
      </c>
      <c r="AN319" s="1085">
        <f t="shared" si="147"/>
        <v>0</v>
      </c>
      <c r="AO319" s="1074">
        <f t="shared" si="148"/>
        <v>0</v>
      </c>
      <c r="AP319" s="1080"/>
    </row>
    <row r="320" spans="1:42" outlineLevel="2" x14ac:dyDescent="0.2">
      <c r="A320" s="1075">
        <v>506</v>
      </c>
      <c r="B320" s="1075">
        <v>20439570</v>
      </c>
      <c r="C320" s="1075">
        <v>204395701</v>
      </c>
      <c r="D320" s="1075" t="s">
        <v>2131</v>
      </c>
      <c r="E320" s="1075" t="s">
        <v>1118</v>
      </c>
      <c r="F320" s="1075">
        <v>817800</v>
      </c>
      <c r="G320" s="1075" t="s">
        <v>2384</v>
      </c>
      <c r="H320" s="1075">
        <v>90534</v>
      </c>
      <c r="I320" s="1075">
        <v>1</v>
      </c>
      <c r="J320" s="1075">
        <v>0</v>
      </c>
      <c r="K320" s="1075">
        <v>0</v>
      </c>
      <c r="L320" s="1075">
        <v>0</v>
      </c>
      <c r="O320" s="1077">
        <v>0</v>
      </c>
      <c r="Q320" s="1074">
        <v>0</v>
      </c>
      <c r="R320" s="1074"/>
      <c r="S320" s="1074"/>
      <c r="T320" s="1074"/>
      <c r="U320" s="1074"/>
      <c r="V320" s="1074"/>
      <c r="W320" s="1074"/>
      <c r="X320" s="1074"/>
      <c r="Y320" s="1074"/>
      <c r="Z320" s="1074"/>
      <c r="AA320" s="1074"/>
      <c r="AB320" s="1074"/>
      <c r="AC320" s="1074"/>
      <c r="AD320" s="1074"/>
      <c r="AE320" s="1074"/>
      <c r="AF320" s="1074"/>
      <c r="AG320" s="1095">
        <v>0</v>
      </c>
      <c r="AH320" s="1074">
        <f t="shared" si="144"/>
        <v>0</v>
      </c>
      <c r="AI320" s="1074">
        <f t="shared" si="145"/>
        <v>0</v>
      </c>
      <c r="AJ320" s="1077">
        <v>0</v>
      </c>
      <c r="AK320" s="1074">
        <v>0</v>
      </c>
      <c r="AL320" s="1109">
        <f t="shared" si="146"/>
        <v>0</v>
      </c>
      <c r="AM320" s="1074">
        <v>0</v>
      </c>
      <c r="AN320" s="1085">
        <f t="shared" si="147"/>
        <v>0</v>
      </c>
      <c r="AO320" s="1074">
        <f t="shared" si="148"/>
        <v>0</v>
      </c>
      <c r="AP320" s="1080"/>
    </row>
    <row r="321" spans="1:42" outlineLevel="2" x14ac:dyDescent="0.2">
      <c r="A321" s="1075">
        <v>506</v>
      </c>
      <c r="B321" s="1075">
        <v>20571566</v>
      </c>
      <c r="C321" s="1075">
        <v>205715667</v>
      </c>
      <c r="D321" s="1075" t="s">
        <v>2111</v>
      </c>
      <c r="E321" s="1075" t="s">
        <v>2364</v>
      </c>
      <c r="F321" s="1075">
        <v>817800</v>
      </c>
      <c r="G321" s="1075" t="s">
        <v>2384</v>
      </c>
      <c r="H321" s="1075">
        <v>90534</v>
      </c>
      <c r="I321" s="1075">
        <v>1</v>
      </c>
      <c r="J321" s="1075">
        <v>0</v>
      </c>
      <c r="K321" s="1075">
        <v>0</v>
      </c>
      <c r="L321" s="1075">
        <v>0</v>
      </c>
      <c r="O321" s="1077">
        <v>0</v>
      </c>
      <c r="Q321" s="1074">
        <v>0</v>
      </c>
      <c r="R321" s="1074"/>
      <c r="S321" s="1074"/>
      <c r="T321" s="1074"/>
      <c r="U321" s="1074"/>
      <c r="V321" s="1074"/>
      <c r="W321" s="1074"/>
      <c r="X321" s="1074"/>
      <c r="Y321" s="1074"/>
      <c r="Z321" s="1074"/>
      <c r="AA321" s="1074"/>
      <c r="AB321" s="1074"/>
      <c r="AC321" s="1074"/>
      <c r="AD321" s="1074"/>
      <c r="AE321" s="1074"/>
      <c r="AF321" s="1074"/>
      <c r="AG321" s="1095">
        <f>VLOOKUP(B321,עזר!A$2:B$329,2,FALSE)</f>
        <v>6838.58</v>
      </c>
      <c r="AH321" s="1074">
        <f t="shared" si="144"/>
        <v>0</v>
      </c>
      <c r="AI321" s="1074">
        <f t="shared" si="145"/>
        <v>6838.58</v>
      </c>
      <c r="AJ321" s="1077">
        <v>0</v>
      </c>
      <c r="AK321" s="1074">
        <v>0</v>
      </c>
      <c r="AL321" s="1109">
        <f t="shared" si="146"/>
        <v>0</v>
      </c>
      <c r="AM321" s="1074">
        <v>0</v>
      </c>
      <c r="AN321" s="1085">
        <f t="shared" si="147"/>
        <v>0</v>
      </c>
      <c r="AO321" s="1074">
        <f t="shared" si="148"/>
        <v>0</v>
      </c>
      <c r="AP321" s="1080"/>
    </row>
    <row r="322" spans="1:42" outlineLevel="2" x14ac:dyDescent="0.2">
      <c r="A322" s="1075">
        <v>506</v>
      </c>
      <c r="B322" s="1075">
        <v>30048390</v>
      </c>
      <c r="C322" s="1075">
        <v>300483906</v>
      </c>
      <c r="D322" s="1075" t="s">
        <v>2112</v>
      </c>
      <c r="E322" s="1075" t="s">
        <v>2314</v>
      </c>
      <c r="F322" s="1075">
        <v>817800</v>
      </c>
      <c r="G322" s="1075" t="s">
        <v>2384</v>
      </c>
      <c r="H322" s="1075">
        <v>90534</v>
      </c>
      <c r="I322" s="1075">
        <v>1</v>
      </c>
      <c r="J322" s="1075">
        <v>0</v>
      </c>
      <c r="K322" s="1075">
        <v>0</v>
      </c>
      <c r="L322" s="1075">
        <v>0</v>
      </c>
      <c r="O322" s="1077">
        <v>0</v>
      </c>
      <c r="Q322" s="1074">
        <v>0</v>
      </c>
      <c r="R322" s="1074"/>
      <c r="S322" s="1074"/>
      <c r="T322" s="1074"/>
      <c r="U322" s="1074"/>
      <c r="V322" s="1074"/>
      <c r="W322" s="1074"/>
      <c r="X322" s="1074"/>
      <c r="Y322" s="1074"/>
      <c r="Z322" s="1074"/>
      <c r="AA322" s="1074"/>
      <c r="AB322" s="1074"/>
      <c r="AC322" s="1074"/>
      <c r="AD322" s="1074"/>
      <c r="AE322" s="1074"/>
      <c r="AF322" s="1074"/>
      <c r="AG322" s="1095">
        <v>0</v>
      </c>
      <c r="AH322" s="1074">
        <f t="shared" si="144"/>
        <v>0</v>
      </c>
      <c r="AI322" s="1074">
        <f t="shared" si="145"/>
        <v>0</v>
      </c>
      <c r="AJ322" s="1077">
        <v>0</v>
      </c>
      <c r="AK322" s="1074">
        <v>0</v>
      </c>
      <c r="AL322" s="1109">
        <f t="shared" si="146"/>
        <v>0</v>
      </c>
      <c r="AM322" s="1074">
        <v>0</v>
      </c>
      <c r="AN322" s="1085">
        <f t="shared" si="147"/>
        <v>0</v>
      </c>
      <c r="AO322" s="1074">
        <f t="shared" si="148"/>
        <v>0</v>
      </c>
      <c r="AP322" s="1080"/>
    </row>
    <row r="323" spans="1:42" outlineLevel="2" x14ac:dyDescent="0.2">
      <c r="A323" s="1075">
        <v>506</v>
      </c>
      <c r="B323" s="1075">
        <v>30128061</v>
      </c>
      <c r="C323" s="1075">
        <v>301280616</v>
      </c>
      <c r="D323" s="1075" t="s">
        <v>2123</v>
      </c>
      <c r="E323" s="1075" t="s">
        <v>2430</v>
      </c>
      <c r="F323" s="1075">
        <v>817800</v>
      </c>
      <c r="G323" s="1075" t="s">
        <v>2384</v>
      </c>
      <c r="H323" s="1075">
        <v>90534</v>
      </c>
      <c r="I323" s="1075">
        <v>1</v>
      </c>
      <c r="J323" s="1075">
        <v>0</v>
      </c>
      <c r="K323" s="1075">
        <v>0</v>
      </c>
      <c r="L323" s="1075">
        <v>0</v>
      </c>
      <c r="O323" s="1077">
        <v>0</v>
      </c>
      <c r="Q323" s="1074">
        <v>0</v>
      </c>
      <c r="R323" s="1074"/>
      <c r="S323" s="1074"/>
      <c r="T323" s="1074"/>
      <c r="U323" s="1074"/>
      <c r="V323" s="1074"/>
      <c r="W323" s="1074"/>
      <c r="X323" s="1074"/>
      <c r="Y323" s="1074"/>
      <c r="Z323" s="1074"/>
      <c r="AA323" s="1074"/>
      <c r="AB323" s="1074"/>
      <c r="AC323" s="1074"/>
      <c r="AD323" s="1074"/>
      <c r="AE323" s="1074"/>
      <c r="AF323" s="1074"/>
      <c r="AG323" s="1095">
        <f>VLOOKUP(B323,עזר!A$2:B$329,2,FALSE)</f>
        <v>9554.33</v>
      </c>
      <c r="AH323" s="1074">
        <f t="shared" si="144"/>
        <v>0</v>
      </c>
      <c r="AI323" s="1074">
        <f t="shared" si="145"/>
        <v>9554.33</v>
      </c>
      <c r="AJ323" s="1077">
        <v>0</v>
      </c>
      <c r="AK323" s="1074">
        <v>0</v>
      </c>
      <c r="AL323" s="1109">
        <f t="shared" si="146"/>
        <v>0</v>
      </c>
      <c r="AM323" s="1074">
        <v>0</v>
      </c>
      <c r="AN323" s="1085">
        <f t="shared" si="147"/>
        <v>0</v>
      </c>
      <c r="AO323" s="1074">
        <f t="shared" si="148"/>
        <v>0</v>
      </c>
      <c r="AP323" s="1080"/>
    </row>
    <row r="324" spans="1:42" outlineLevel="2" x14ac:dyDescent="0.2">
      <c r="A324" s="1075">
        <v>506</v>
      </c>
      <c r="B324" s="1075">
        <v>30172182</v>
      </c>
      <c r="C324" s="1075">
        <v>301721825</v>
      </c>
      <c r="D324" s="1075" t="s">
        <v>1531</v>
      </c>
      <c r="E324" s="1075" t="s">
        <v>2433</v>
      </c>
      <c r="F324" s="1075">
        <v>817800</v>
      </c>
      <c r="G324" s="1075" t="s">
        <v>2384</v>
      </c>
      <c r="H324" s="1075">
        <v>90534</v>
      </c>
      <c r="I324" s="1075">
        <v>1</v>
      </c>
      <c r="J324" s="1075">
        <v>0</v>
      </c>
      <c r="K324" s="1075">
        <v>0</v>
      </c>
      <c r="L324" s="1075">
        <v>0</v>
      </c>
      <c r="O324" s="1077">
        <v>0</v>
      </c>
      <c r="Q324" s="1074">
        <v>0</v>
      </c>
      <c r="R324" s="1074"/>
      <c r="S324" s="1074"/>
      <c r="T324" s="1074"/>
      <c r="U324" s="1074"/>
      <c r="V324" s="1074"/>
      <c r="W324" s="1074"/>
      <c r="X324" s="1074"/>
      <c r="Y324" s="1074"/>
      <c r="Z324" s="1074"/>
      <c r="AA324" s="1074"/>
      <c r="AB324" s="1074"/>
      <c r="AC324" s="1074"/>
      <c r="AD324" s="1074"/>
      <c r="AE324" s="1074"/>
      <c r="AF324" s="1074"/>
      <c r="AG324" s="1095">
        <f>VLOOKUP(B324,עזר!A$2:B$329,2,FALSE)</f>
        <v>1997.1</v>
      </c>
      <c r="AH324" s="1074">
        <f t="shared" si="144"/>
        <v>0</v>
      </c>
      <c r="AI324" s="1074">
        <f t="shared" si="145"/>
        <v>1997.1</v>
      </c>
      <c r="AJ324" s="1077">
        <v>0</v>
      </c>
      <c r="AK324" s="1074">
        <v>0</v>
      </c>
      <c r="AL324" s="1109">
        <f t="shared" si="146"/>
        <v>0</v>
      </c>
      <c r="AM324" s="1074">
        <v>0</v>
      </c>
      <c r="AN324" s="1085">
        <f t="shared" si="147"/>
        <v>0</v>
      </c>
      <c r="AO324" s="1074">
        <f t="shared" si="148"/>
        <v>0</v>
      </c>
      <c r="AP324" s="1080"/>
    </row>
    <row r="325" spans="1:42" outlineLevel="2" x14ac:dyDescent="0.2">
      <c r="A325" s="1075">
        <v>506</v>
      </c>
      <c r="B325" s="1075">
        <v>30828943</v>
      </c>
      <c r="C325" s="1075">
        <v>308289438</v>
      </c>
      <c r="D325" s="1075" t="s">
        <v>2434</v>
      </c>
      <c r="E325" s="1075" t="s">
        <v>2435</v>
      </c>
      <c r="F325" s="1075">
        <v>817800</v>
      </c>
      <c r="G325" s="1075" t="s">
        <v>2384</v>
      </c>
      <c r="H325" s="1075">
        <v>90534</v>
      </c>
      <c r="I325" s="1075">
        <v>1</v>
      </c>
      <c r="J325" s="1075">
        <v>0</v>
      </c>
      <c r="K325" s="1075">
        <v>0</v>
      </c>
      <c r="L325" s="1075">
        <v>0</v>
      </c>
      <c r="O325" s="1077">
        <v>0</v>
      </c>
      <c r="Q325" s="1074">
        <v>0</v>
      </c>
      <c r="R325" s="1074"/>
      <c r="S325" s="1074"/>
      <c r="T325" s="1074"/>
      <c r="U325" s="1074"/>
      <c r="V325" s="1074"/>
      <c r="W325" s="1074"/>
      <c r="X325" s="1074"/>
      <c r="Y325" s="1074"/>
      <c r="Z325" s="1074"/>
      <c r="AA325" s="1074"/>
      <c r="AB325" s="1074"/>
      <c r="AC325" s="1074"/>
      <c r="AD325" s="1074"/>
      <c r="AE325" s="1074"/>
      <c r="AF325" s="1074"/>
      <c r="AG325" s="1095">
        <f>VLOOKUP(B325,עזר!A$2:B$329,2,FALSE)</f>
        <v>5277.56</v>
      </c>
      <c r="AH325" s="1074">
        <f t="shared" si="144"/>
        <v>0</v>
      </c>
      <c r="AI325" s="1074">
        <f t="shared" si="145"/>
        <v>5277.56</v>
      </c>
      <c r="AJ325" s="1077">
        <v>0</v>
      </c>
      <c r="AK325" s="1074">
        <v>0</v>
      </c>
      <c r="AL325" s="1109">
        <f t="shared" si="146"/>
        <v>0</v>
      </c>
      <c r="AM325" s="1074">
        <v>0</v>
      </c>
      <c r="AN325" s="1085">
        <f t="shared" si="147"/>
        <v>0</v>
      </c>
      <c r="AO325" s="1074">
        <f t="shared" si="148"/>
        <v>0</v>
      </c>
      <c r="AP325" s="1080"/>
    </row>
    <row r="326" spans="1:42" outlineLevel="2" x14ac:dyDescent="0.2">
      <c r="A326" s="1075">
        <v>506</v>
      </c>
      <c r="B326" s="1078">
        <v>999999</v>
      </c>
      <c r="C326" s="1075">
        <v>99999</v>
      </c>
      <c r="D326" s="1110" t="s">
        <v>2784</v>
      </c>
      <c r="E326" s="1110" t="s">
        <v>1509</v>
      </c>
      <c r="F326" s="1075">
        <v>817800</v>
      </c>
      <c r="M326" s="1075" t="s">
        <v>1632</v>
      </c>
      <c r="O326" s="1077">
        <v>0</v>
      </c>
      <c r="Q326" s="1085">
        <v>0</v>
      </c>
      <c r="R326" s="1085"/>
      <c r="S326" s="1085"/>
      <c r="T326" s="1085"/>
      <c r="U326" s="1085"/>
      <c r="V326" s="1085"/>
      <c r="W326" s="1085"/>
      <c r="X326" s="1085"/>
      <c r="Y326" s="1085"/>
      <c r="Z326" s="1085"/>
      <c r="AA326" s="1085"/>
      <c r="AB326" s="1085"/>
      <c r="AC326" s="1085"/>
      <c r="AD326" s="1085"/>
      <c r="AE326" s="1085"/>
      <c r="AF326" s="1085"/>
      <c r="AG326" s="1096">
        <v>0</v>
      </c>
      <c r="AH326" s="1085">
        <v>0</v>
      </c>
      <c r="AI326" s="1085">
        <v>0</v>
      </c>
      <c r="AJ326" s="1077">
        <v>4</v>
      </c>
      <c r="AK326" s="1074">
        <v>172000</v>
      </c>
      <c r="AL326" s="1109">
        <f t="shared" si="146"/>
        <v>0</v>
      </c>
      <c r="AM326" s="1074">
        <v>249000</v>
      </c>
      <c r="AN326" s="1085">
        <f t="shared" si="147"/>
        <v>0</v>
      </c>
      <c r="AO326" s="1074">
        <f t="shared" si="148"/>
        <v>249000</v>
      </c>
      <c r="AP326" s="1080"/>
    </row>
    <row r="327" spans="1:42" outlineLevel="1" x14ac:dyDescent="0.2">
      <c r="B327" s="1078"/>
      <c r="F327" s="1088" t="s">
        <v>3121</v>
      </c>
      <c r="O327" s="1077">
        <f>SUBTOTAL(9,O309:O326)</f>
        <v>0</v>
      </c>
      <c r="Q327" s="1085">
        <f>SUBTOTAL(9,Q309:Q326)</f>
        <v>1245.99</v>
      </c>
      <c r="R327" s="1085"/>
      <c r="S327" s="1085"/>
      <c r="T327" s="1085"/>
      <c r="U327" s="1085"/>
      <c r="V327" s="1085"/>
      <c r="W327" s="1085"/>
      <c r="X327" s="1085"/>
      <c r="Y327" s="1085"/>
      <c r="Z327" s="1085"/>
      <c r="AA327" s="1085"/>
      <c r="AB327" s="1085"/>
      <c r="AC327" s="1085"/>
      <c r="AD327" s="1085"/>
      <c r="AE327" s="1085"/>
      <c r="AF327" s="1085"/>
      <c r="AG327" s="1096">
        <f t="shared" ref="AG327:AM327" si="149">SUBTOTAL(9,AG309:AG326)</f>
        <v>148935.19999999998</v>
      </c>
      <c r="AH327" s="1085">
        <f t="shared" si="149"/>
        <v>3737.9700000000003</v>
      </c>
      <c r="AI327" s="1085">
        <f t="shared" si="149"/>
        <v>152673.16999999998</v>
      </c>
      <c r="AJ327" s="1077">
        <f t="shared" si="149"/>
        <v>4</v>
      </c>
      <c r="AK327" s="1074">
        <f t="shared" si="149"/>
        <v>172000</v>
      </c>
      <c r="AL327" s="1109">
        <f t="shared" si="149"/>
        <v>0</v>
      </c>
      <c r="AM327" s="1074">
        <f t="shared" si="149"/>
        <v>249000</v>
      </c>
      <c r="AP327" s="1080">
        <f>SUBTOTAL(9,AP309:AP326)</f>
        <v>0</v>
      </c>
    </row>
    <row r="328" spans="1:42" outlineLevel="2" x14ac:dyDescent="0.2">
      <c r="A328" s="1075">
        <v>506</v>
      </c>
      <c r="B328" s="1078">
        <v>2346323</v>
      </c>
      <c r="C328" s="1075">
        <v>23463235</v>
      </c>
      <c r="D328" s="1075" t="s">
        <v>2185</v>
      </c>
      <c r="E328" s="1075" t="s">
        <v>2167</v>
      </c>
      <c r="F328" s="1075">
        <v>817910</v>
      </c>
      <c r="G328" s="1075" t="s">
        <v>2107</v>
      </c>
      <c r="H328" s="1075">
        <v>90534</v>
      </c>
      <c r="I328" s="1075">
        <v>0</v>
      </c>
      <c r="J328" s="1075">
        <v>5</v>
      </c>
      <c r="K328" s="1075">
        <v>37</v>
      </c>
      <c r="L328" s="1075">
        <v>0</v>
      </c>
      <c r="M328" s="1075" t="s">
        <v>3184</v>
      </c>
      <c r="N328" s="1075" t="s">
        <v>3184</v>
      </c>
      <c r="O328" s="1077">
        <f>P328/100</f>
        <v>0.75</v>
      </c>
      <c r="P328" s="1075">
        <v>75</v>
      </c>
      <c r="Q328" s="1074">
        <v>7012.26</v>
      </c>
      <c r="R328" s="1074">
        <v>571.35</v>
      </c>
      <c r="S328" s="1074">
        <v>200.33</v>
      </c>
      <c r="T328" s="1074">
        <v>5805.18</v>
      </c>
      <c r="U328" s="1074">
        <v>0</v>
      </c>
      <c r="V328" s="1074">
        <v>0</v>
      </c>
      <c r="W328" s="1074">
        <v>0</v>
      </c>
      <c r="X328" s="1074">
        <v>0</v>
      </c>
      <c r="Y328" s="1074">
        <v>184.1</v>
      </c>
      <c r="Z328" s="1074">
        <v>0</v>
      </c>
      <c r="AA328" s="1074">
        <v>5621.08</v>
      </c>
      <c r="AB328" s="1074">
        <v>435.4</v>
      </c>
      <c r="AC328" s="1074">
        <v>0</v>
      </c>
      <c r="AD328" s="1074">
        <v>0</v>
      </c>
      <c r="AE328" s="1074">
        <v>1817910</v>
      </c>
      <c r="AF328" s="1074" t="s">
        <v>251</v>
      </c>
      <c r="AG328" s="1095">
        <f>VLOOKUP(B328,עזר!A$2:B$329,2,FALSE)</f>
        <v>69820.87</v>
      </c>
      <c r="AH328" s="1074">
        <f>Q328*3</f>
        <v>21036.78</v>
      </c>
      <c r="AI328" s="1074">
        <f>AH328+AG328</f>
        <v>90857.65</v>
      </c>
      <c r="AJ328" s="1077">
        <f>VLOOKUP(B328,Sheet1!D$2:K$430,7,FALSE)</f>
        <v>0.75</v>
      </c>
      <c r="AK328" s="1074">
        <f>VLOOKUP(B328,Sheet1!D$2:L$430,8,FALSE)</f>
        <v>85000</v>
      </c>
      <c r="AL328" s="1109">
        <f>O328</f>
        <v>0.75</v>
      </c>
      <c r="AM328" s="1074">
        <f>AI328*1.02</f>
        <v>92674.803</v>
      </c>
      <c r="AN328" s="1085">
        <f>AL328</f>
        <v>0.75</v>
      </c>
      <c r="AO328" s="1074">
        <f>AM328</f>
        <v>92674.803</v>
      </c>
      <c r="AP328" s="1080"/>
    </row>
    <row r="329" spans="1:42" outlineLevel="2" x14ac:dyDescent="0.2">
      <c r="A329" s="1075">
        <v>506</v>
      </c>
      <c r="B329" s="1078">
        <v>5443621</v>
      </c>
      <c r="C329" s="1075">
        <v>54436217</v>
      </c>
      <c r="D329" s="1075" t="s">
        <v>2207</v>
      </c>
      <c r="E329" s="1075" t="s">
        <v>2247</v>
      </c>
      <c r="F329" s="1075">
        <v>817910</v>
      </c>
      <c r="G329" s="1075" t="s">
        <v>2107</v>
      </c>
      <c r="H329" s="1075">
        <v>90534</v>
      </c>
      <c r="I329" s="1075">
        <v>0</v>
      </c>
      <c r="J329" s="1075">
        <v>5</v>
      </c>
      <c r="K329" s="1075">
        <v>37</v>
      </c>
      <c r="L329" s="1075">
        <v>0</v>
      </c>
      <c r="M329" s="1075" t="s">
        <v>3184</v>
      </c>
      <c r="N329" s="1075" t="s">
        <v>3184</v>
      </c>
      <c r="O329" s="1077">
        <f>P329/100</f>
        <v>0.5</v>
      </c>
      <c r="P329" s="1075">
        <v>50</v>
      </c>
      <c r="Q329" s="1074">
        <v>4606.9799999999996</v>
      </c>
      <c r="R329" s="1074">
        <v>372.9</v>
      </c>
      <c r="S329" s="1074">
        <v>131.66</v>
      </c>
      <c r="T329" s="1074">
        <v>3816.22</v>
      </c>
      <c r="U329" s="1074">
        <v>0</v>
      </c>
      <c r="V329" s="1074">
        <v>0</v>
      </c>
      <c r="W329" s="1074">
        <v>0</v>
      </c>
      <c r="X329" s="1074">
        <v>0</v>
      </c>
      <c r="Y329" s="1074">
        <v>174.4</v>
      </c>
      <c r="Z329" s="1074">
        <v>0</v>
      </c>
      <c r="AA329" s="1074">
        <v>3641.82</v>
      </c>
      <c r="AB329" s="1074">
        <v>286.2</v>
      </c>
      <c r="AC329" s="1074">
        <v>0</v>
      </c>
      <c r="AD329" s="1074">
        <v>0</v>
      </c>
      <c r="AE329" s="1074">
        <v>1817910</v>
      </c>
      <c r="AF329" s="1074" t="s">
        <v>251</v>
      </c>
      <c r="AG329" s="1095">
        <f>VLOOKUP(B329,עזר!A$2:B$329,2,FALSE)</f>
        <v>45539.24</v>
      </c>
      <c r="AH329" s="1074">
        <f>Q329*3</f>
        <v>13820.939999999999</v>
      </c>
      <c r="AI329" s="1074">
        <f>AH329+AG329</f>
        <v>59360.179999999993</v>
      </c>
      <c r="AJ329" s="1077">
        <f>VLOOKUP(B329,Sheet1!D$2:K$430,7,FALSE)</f>
        <v>0.5</v>
      </c>
      <c r="AK329" s="1074">
        <f>VLOOKUP(B329,Sheet1!D$2:L$430,8,FALSE)</f>
        <v>55600</v>
      </c>
      <c r="AL329" s="1109">
        <f>O329</f>
        <v>0.5</v>
      </c>
      <c r="AM329" s="1074">
        <f>AI329*1.02</f>
        <v>60547.383599999994</v>
      </c>
      <c r="AN329" s="1085">
        <f>AL329</f>
        <v>0.5</v>
      </c>
      <c r="AO329" s="1074">
        <f>AM329</f>
        <v>60547.383599999994</v>
      </c>
      <c r="AP329" s="1080"/>
    </row>
    <row r="330" spans="1:42" outlineLevel="1" x14ac:dyDescent="0.2">
      <c r="B330" s="1078"/>
      <c r="F330" s="1088" t="s">
        <v>3122</v>
      </c>
      <c r="O330" s="1077">
        <f>SUBTOTAL(9,O328:O329)</f>
        <v>1.25</v>
      </c>
      <c r="Q330" s="1074">
        <f>SUBTOTAL(9,Q328:Q329)</f>
        <v>11619.24</v>
      </c>
      <c r="R330" s="1074"/>
      <c r="S330" s="1074"/>
      <c r="T330" s="1074"/>
      <c r="U330" s="1074"/>
      <c r="V330" s="1074"/>
      <c r="W330" s="1074"/>
      <c r="X330" s="1074"/>
      <c r="Y330" s="1074"/>
      <c r="Z330" s="1074"/>
      <c r="AA330" s="1074"/>
      <c r="AB330" s="1074"/>
      <c r="AC330" s="1074"/>
      <c r="AD330" s="1074"/>
      <c r="AE330" s="1074"/>
      <c r="AF330" s="1074"/>
      <c r="AG330" s="1095">
        <f t="shared" ref="AG330:AM330" si="150">SUBTOTAL(9,AG328:AG329)</f>
        <v>115360.10999999999</v>
      </c>
      <c r="AH330" s="1074">
        <f t="shared" si="150"/>
        <v>34857.72</v>
      </c>
      <c r="AI330" s="1074">
        <f t="shared" si="150"/>
        <v>150217.82999999999</v>
      </c>
      <c r="AJ330" s="1077">
        <f t="shared" si="150"/>
        <v>1.25</v>
      </c>
      <c r="AK330" s="1074">
        <f t="shared" si="150"/>
        <v>140600</v>
      </c>
      <c r="AL330" s="1109">
        <f t="shared" si="150"/>
        <v>1.25</v>
      </c>
      <c r="AM330" s="1074">
        <f t="shared" si="150"/>
        <v>153222.18659999999</v>
      </c>
      <c r="AP330" s="1080">
        <f>SUBTOTAL(9,AP328:AP329)</f>
        <v>0</v>
      </c>
    </row>
    <row r="331" spans="1:42" outlineLevel="2" x14ac:dyDescent="0.2">
      <c r="A331" s="1075">
        <v>506</v>
      </c>
      <c r="B331" s="1078">
        <v>3981145</v>
      </c>
      <c r="C331" s="1075">
        <v>39811450</v>
      </c>
      <c r="D331" s="1075" t="s">
        <v>2138</v>
      </c>
      <c r="E331" s="1075" t="s">
        <v>2248</v>
      </c>
      <c r="F331" s="1075">
        <v>819000</v>
      </c>
      <c r="G331" s="1075" t="s">
        <v>2107</v>
      </c>
      <c r="H331" s="1075">
        <v>90534</v>
      </c>
      <c r="I331" s="1075">
        <v>0</v>
      </c>
      <c r="J331" s="1075">
        <v>3</v>
      </c>
      <c r="K331" s="1075">
        <v>2</v>
      </c>
      <c r="L331" s="1075">
        <v>0</v>
      </c>
      <c r="M331" s="1075" t="s">
        <v>1038</v>
      </c>
      <c r="N331" s="1075" t="s">
        <v>1038</v>
      </c>
      <c r="O331" s="1077">
        <f>P331/100</f>
        <v>0.75</v>
      </c>
      <c r="P331" s="1075">
        <v>75</v>
      </c>
      <c r="Q331" s="1074">
        <v>6656.35</v>
      </c>
      <c r="R331" s="1074">
        <v>1005.9</v>
      </c>
      <c r="S331" s="1074">
        <v>175.7</v>
      </c>
      <c r="T331" s="1074">
        <v>5092.8</v>
      </c>
      <c r="U331" s="1074">
        <v>234</v>
      </c>
      <c r="V331" s="1074">
        <v>0</v>
      </c>
      <c r="W331" s="1074">
        <v>612.85</v>
      </c>
      <c r="X331" s="1074">
        <v>0</v>
      </c>
      <c r="Y331" s="1074">
        <v>163.55000000000001</v>
      </c>
      <c r="Z331" s="1074">
        <v>0</v>
      </c>
      <c r="AA331" s="1074">
        <v>4082.4</v>
      </c>
      <c r="AB331" s="1074">
        <v>381.95</v>
      </c>
      <c r="AC331" s="1074">
        <v>0</v>
      </c>
      <c r="AD331" s="1074">
        <v>0</v>
      </c>
      <c r="AE331" s="1074">
        <v>1819000</v>
      </c>
      <c r="AF331" s="1074" t="s">
        <v>251</v>
      </c>
      <c r="AG331" s="1095">
        <f>VLOOKUP(B331,עזר!A$2:B$329,2,FALSE)</f>
        <v>63296.36</v>
      </c>
      <c r="AH331" s="1074">
        <f>Q331*3</f>
        <v>19969.050000000003</v>
      </c>
      <c r="AI331" s="1074">
        <f>AH331+AG331</f>
        <v>83265.41</v>
      </c>
      <c r="AJ331" s="1077">
        <f>VLOOKUP(B331,Sheet1!D$2:K$430,7,FALSE)</f>
        <v>0.75</v>
      </c>
      <c r="AK331" s="1074">
        <f>VLOOKUP(B331,Sheet1!D$2:L$430,8,FALSE)</f>
        <v>75000</v>
      </c>
      <c r="AL331" s="1109">
        <f>O331</f>
        <v>0.75</v>
      </c>
      <c r="AM331" s="1074">
        <f>AI331*1.02</f>
        <v>84930.718200000003</v>
      </c>
      <c r="AN331" s="1085">
        <f t="shared" ref="AN331:AO333" si="151">AL331</f>
        <v>0.75</v>
      </c>
      <c r="AO331" s="1074">
        <f t="shared" si="151"/>
        <v>84930.718200000003</v>
      </c>
      <c r="AP331" s="1080"/>
    </row>
    <row r="332" spans="1:42" outlineLevel="2" x14ac:dyDescent="0.2">
      <c r="A332" s="1075">
        <v>506</v>
      </c>
      <c r="B332" s="1078">
        <v>5625888</v>
      </c>
      <c r="C332" s="1075">
        <v>56258882</v>
      </c>
      <c r="D332" s="1075" t="s">
        <v>1419</v>
      </c>
      <c r="E332" s="1075" t="s">
        <v>1419</v>
      </c>
      <c r="F332" s="1075">
        <v>819000</v>
      </c>
      <c r="G332" s="1075" t="s">
        <v>2107</v>
      </c>
      <c r="H332" s="1075">
        <v>90534</v>
      </c>
      <c r="I332" s="1075">
        <v>0</v>
      </c>
      <c r="J332" s="1075">
        <v>3</v>
      </c>
      <c r="K332" s="1075">
        <v>2</v>
      </c>
      <c r="L332" s="1075">
        <v>0</v>
      </c>
      <c r="M332" s="1075" t="s">
        <v>1038</v>
      </c>
      <c r="N332" s="1075" t="s">
        <v>1038</v>
      </c>
      <c r="O332" s="1077">
        <f>P332/100</f>
        <v>1</v>
      </c>
      <c r="P332" s="1075">
        <v>100</v>
      </c>
      <c r="Q332" s="1074">
        <v>23892.400000000001</v>
      </c>
      <c r="R332" s="1074">
        <v>1537.9</v>
      </c>
      <c r="S332" s="1074">
        <v>1239.8900000000001</v>
      </c>
      <c r="T332" s="1074">
        <v>19639.66</v>
      </c>
      <c r="U332" s="1074">
        <v>0</v>
      </c>
      <c r="V332" s="1074">
        <v>0</v>
      </c>
      <c r="W332" s="1074">
        <v>659.7</v>
      </c>
      <c r="X332" s="1074">
        <v>1238.45</v>
      </c>
      <c r="Y332" s="1074">
        <v>169.6</v>
      </c>
      <c r="Z332" s="1074">
        <v>0</v>
      </c>
      <c r="AA332" s="1074">
        <v>17571.91</v>
      </c>
      <c r="AB332" s="1074">
        <v>1474.95</v>
      </c>
      <c r="AC332" s="1074">
        <v>0</v>
      </c>
      <c r="AD332" s="1074">
        <v>0</v>
      </c>
      <c r="AE332" s="1074">
        <v>1819000</v>
      </c>
      <c r="AF332" s="1074" t="s">
        <v>251</v>
      </c>
      <c r="AG332" s="1095">
        <f>VLOOKUP(B332,עזר!A$2:B$329,2,FALSE)</f>
        <v>160221.09</v>
      </c>
      <c r="AH332" s="1074">
        <f>Q332*3</f>
        <v>71677.200000000012</v>
      </c>
      <c r="AI332" s="1074">
        <f>AH332+AG332</f>
        <v>231898.29</v>
      </c>
      <c r="AJ332" s="1077">
        <f>VLOOKUP(B332,Sheet1!D$2:K$430,7,FALSE)</f>
        <v>1</v>
      </c>
      <c r="AK332" s="1074">
        <f>VLOOKUP(B332,Sheet1!D$2:L$430,8,FALSE)</f>
        <v>212000</v>
      </c>
      <c r="AL332" s="1109">
        <f>O332</f>
        <v>1</v>
      </c>
      <c r="AM332" s="1074">
        <f>AI332*1.02</f>
        <v>236536.25580000001</v>
      </c>
      <c r="AN332" s="1085">
        <f t="shared" si="151"/>
        <v>1</v>
      </c>
      <c r="AO332" s="1074">
        <f t="shared" si="151"/>
        <v>236536.25580000001</v>
      </c>
      <c r="AP332" s="1080"/>
    </row>
    <row r="333" spans="1:42" outlineLevel="2" x14ac:dyDescent="0.2">
      <c r="A333" s="1075">
        <v>506</v>
      </c>
      <c r="B333" s="1078">
        <v>6287487</v>
      </c>
      <c r="C333" s="1075">
        <v>62874870</v>
      </c>
      <c r="D333" s="1075" t="s">
        <v>1419</v>
      </c>
      <c r="E333" s="1075" t="s">
        <v>2249</v>
      </c>
      <c r="F333" s="1075">
        <v>819000</v>
      </c>
      <c r="G333" s="1075" t="s">
        <v>2107</v>
      </c>
      <c r="H333" s="1075">
        <v>90534</v>
      </c>
      <c r="I333" s="1075">
        <v>0</v>
      </c>
      <c r="J333" s="1075">
        <v>3</v>
      </c>
      <c r="K333" s="1075">
        <v>2</v>
      </c>
      <c r="L333" s="1075">
        <v>0</v>
      </c>
      <c r="M333" s="1075" t="s">
        <v>1038</v>
      </c>
      <c r="N333" s="1075" t="s">
        <v>1038</v>
      </c>
      <c r="O333" s="1077">
        <f>P333/100</f>
        <v>1</v>
      </c>
      <c r="P333" s="1075">
        <v>100</v>
      </c>
      <c r="Q333" s="1074">
        <v>11471.39</v>
      </c>
      <c r="R333" s="1074">
        <v>1788.65</v>
      </c>
      <c r="S333" s="1074">
        <v>411.75</v>
      </c>
      <c r="T333" s="1074">
        <v>8624.19</v>
      </c>
      <c r="U333" s="1074">
        <v>0</v>
      </c>
      <c r="V333" s="1074">
        <v>0</v>
      </c>
      <c r="W333" s="1074">
        <v>548.54999999999995</v>
      </c>
      <c r="X333" s="1074">
        <v>0</v>
      </c>
      <c r="Y333" s="1074">
        <v>140.5</v>
      </c>
      <c r="Z333" s="1074">
        <v>0</v>
      </c>
      <c r="AA333" s="1074">
        <v>7935.14</v>
      </c>
      <c r="AB333" s="1074">
        <v>646.79999999999995</v>
      </c>
      <c r="AC333" s="1074">
        <v>0</v>
      </c>
      <c r="AD333" s="1074">
        <v>0</v>
      </c>
      <c r="AE333" s="1074">
        <v>1819000</v>
      </c>
      <c r="AF333" s="1074" t="s">
        <v>251</v>
      </c>
      <c r="AG333" s="1095">
        <f>VLOOKUP(B333,עזר!A$2:B$329,2,FALSE)</f>
        <v>107878.79</v>
      </c>
      <c r="AH333" s="1074">
        <f>Q333*3</f>
        <v>34414.17</v>
      </c>
      <c r="AI333" s="1074">
        <f>AH333+AG333</f>
        <v>142292.96</v>
      </c>
      <c r="AJ333" s="1077">
        <f>VLOOKUP(B333,Sheet1!D$2:K$430,7,FALSE)</f>
        <v>1</v>
      </c>
      <c r="AK333" s="1074">
        <f>VLOOKUP(B333,Sheet1!D$2:L$430,8,FALSE)</f>
        <v>126000</v>
      </c>
      <c r="AL333" s="1109">
        <f>O333</f>
        <v>1</v>
      </c>
      <c r="AM333" s="1074">
        <f>AI333*1.02</f>
        <v>145138.8192</v>
      </c>
      <c r="AN333" s="1085">
        <f t="shared" si="151"/>
        <v>1</v>
      </c>
      <c r="AO333" s="1074">
        <f t="shared" si="151"/>
        <v>145138.8192</v>
      </c>
      <c r="AP333" s="1080"/>
    </row>
    <row r="334" spans="1:42" outlineLevel="1" x14ac:dyDescent="0.2">
      <c r="B334" s="1078"/>
      <c r="F334" s="1088" t="s">
        <v>3123</v>
      </c>
      <c r="O334" s="1077">
        <f>SUBTOTAL(9,O331:O333)</f>
        <v>2.75</v>
      </c>
      <c r="Q334" s="1074">
        <f>SUBTOTAL(9,Q331:Q333)</f>
        <v>42020.14</v>
      </c>
      <c r="R334" s="1074"/>
      <c r="S334" s="1074"/>
      <c r="T334" s="1074"/>
      <c r="U334" s="1074"/>
      <c r="V334" s="1074"/>
      <c r="W334" s="1074"/>
      <c r="X334" s="1074"/>
      <c r="Y334" s="1074"/>
      <c r="Z334" s="1074"/>
      <c r="AA334" s="1074"/>
      <c r="AB334" s="1074"/>
      <c r="AC334" s="1074"/>
      <c r="AD334" s="1074"/>
      <c r="AE334" s="1074"/>
      <c r="AF334" s="1074"/>
      <c r="AG334" s="1095">
        <f t="shared" ref="AG334:AM334" si="152">SUBTOTAL(9,AG331:AG333)</f>
        <v>331396.24</v>
      </c>
      <c r="AH334" s="1074">
        <f t="shared" si="152"/>
        <v>126060.42000000001</v>
      </c>
      <c r="AI334" s="1074">
        <f t="shared" si="152"/>
        <v>457456.66000000003</v>
      </c>
      <c r="AJ334" s="1077">
        <f t="shared" si="152"/>
        <v>2.75</v>
      </c>
      <c r="AK334" s="1074">
        <f t="shared" si="152"/>
        <v>413000</v>
      </c>
      <c r="AL334" s="1109">
        <f t="shared" si="152"/>
        <v>2.75</v>
      </c>
      <c r="AM334" s="1074">
        <f t="shared" si="152"/>
        <v>466605.79320000007</v>
      </c>
      <c r="AP334" s="1080">
        <f>SUBTOTAL(9,AP331:AP333)</f>
        <v>0</v>
      </c>
    </row>
    <row r="335" spans="1:42" outlineLevel="2" x14ac:dyDescent="0.2">
      <c r="A335" s="1075">
        <v>506</v>
      </c>
      <c r="B335" s="1078">
        <v>5993069</v>
      </c>
      <c r="C335" s="1075">
        <v>59930693</v>
      </c>
      <c r="D335" s="1075" t="s">
        <v>2131</v>
      </c>
      <c r="E335" s="1075" t="s">
        <v>2296</v>
      </c>
      <c r="F335" s="1075">
        <v>823000</v>
      </c>
      <c r="G335" s="1075" t="s">
        <v>2107</v>
      </c>
      <c r="H335" s="1075">
        <v>90534</v>
      </c>
      <c r="I335" s="1075">
        <v>0</v>
      </c>
      <c r="J335" s="1075">
        <v>5</v>
      </c>
      <c r="K335" s="1075">
        <v>37</v>
      </c>
      <c r="L335" s="1075">
        <v>0</v>
      </c>
      <c r="M335" s="1075" t="s">
        <v>3144</v>
      </c>
      <c r="N335" s="1075" t="s">
        <v>931</v>
      </c>
      <c r="O335" s="1077">
        <f>P335/100</f>
        <v>0.75</v>
      </c>
      <c r="P335" s="1075">
        <v>75</v>
      </c>
      <c r="Q335" s="1074">
        <v>9817.7900000000009</v>
      </c>
      <c r="R335" s="1074">
        <v>901.15</v>
      </c>
      <c r="S335" s="1074">
        <v>296.73</v>
      </c>
      <c r="T335" s="1074">
        <v>8018.51</v>
      </c>
      <c r="U335" s="1074">
        <v>0</v>
      </c>
      <c r="V335" s="1074">
        <v>0</v>
      </c>
      <c r="W335" s="1074">
        <v>0</v>
      </c>
      <c r="X335" s="1074">
        <v>0</v>
      </c>
      <c r="Y335" s="1074">
        <v>94.55</v>
      </c>
      <c r="Z335" s="1074">
        <v>0</v>
      </c>
      <c r="AA335" s="1074">
        <v>7923.96</v>
      </c>
      <c r="AB335" s="1074">
        <v>601.4</v>
      </c>
      <c r="AC335" s="1074">
        <v>0</v>
      </c>
      <c r="AD335" s="1074">
        <v>0</v>
      </c>
      <c r="AE335" s="1074">
        <v>1823000</v>
      </c>
      <c r="AF335" s="1074" t="s">
        <v>251</v>
      </c>
      <c r="AG335" s="1095">
        <f>VLOOKUP(B335,עזר!A$2:B$329,2,FALSE)</f>
        <v>66659.77</v>
      </c>
      <c r="AH335" s="1074">
        <f>Q335*3</f>
        <v>29453.370000000003</v>
      </c>
      <c r="AI335" s="1074">
        <f>AH335+AG335</f>
        <v>96113.140000000014</v>
      </c>
      <c r="AJ335" s="1077">
        <f>VLOOKUP(B335,Sheet1!D$2:K$430,7,FALSE)</f>
        <v>0.8</v>
      </c>
      <c r="AK335" s="1074">
        <f>VLOOKUP(B335,Sheet1!D$2:L$430,8,FALSE)</f>
        <v>82000</v>
      </c>
      <c r="AL335" s="1109">
        <f>O335</f>
        <v>0.75</v>
      </c>
      <c r="AM335" s="1074">
        <f>AI335*1.02</f>
        <v>98035.402800000011</v>
      </c>
      <c r="AN335" s="1085">
        <f>AL335</f>
        <v>0.75</v>
      </c>
      <c r="AO335" s="1074">
        <f>AM335</f>
        <v>98035.402800000011</v>
      </c>
      <c r="AP335" s="1080"/>
    </row>
    <row r="336" spans="1:42" outlineLevel="2" x14ac:dyDescent="0.2">
      <c r="A336" s="1075">
        <v>506</v>
      </c>
      <c r="B336" s="1078"/>
      <c r="D336" s="1110" t="s">
        <v>758</v>
      </c>
      <c r="E336" s="1110" t="s">
        <v>758</v>
      </c>
      <c r="F336" s="1075">
        <v>823000</v>
      </c>
      <c r="M336" s="1075" t="s">
        <v>3144</v>
      </c>
      <c r="N336" s="1075" t="s">
        <v>3145</v>
      </c>
      <c r="O336" s="1077">
        <v>0</v>
      </c>
      <c r="Q336" s="1074">
        <v>0</v>
      </c>
      <c r="R336" s="1074"/>
      <c r="S336" s="1074"/>
      <c r="T336" s="1074"/>
      <c r="U336" s="1074"/>
      <c r="V336" s="1074"/>
      <c r="W336" s="1074"/>
      <c r="X336" s="1074"/>
      <c r="Y336" s="1074"/>
      <c r="Z336" s="1074"/>
      <c r="AA336" s="1074"/>
      <c r="AB336" s="1074"/>
      <c r="AC336" s="1074"/>
      <c r="AD336" s="1074"/>
      <c r="AE336" s="1074"/>
      <c r="AF336" s="1074"/>
      <c r="AG336" s="1095">
        <v>0</v>
      </c>
      <c r="AH336" s="1074">
        <f>Q336*3</f>
        <v>0</v>
      </c>
      <c r="AI336" s="1074">
        <v>0</v>
      </c>
      <c r="AJ336" s="1077">
        <v>0</v>
      </c>
      <c r="AK336" s="1074">
        <v>0</v>
      </c>
      <c r="AL336" s="1109">
        <v>1</v>
      </c>
      <c r="AM336" s="1074">
        <v>0</v>
      </c>
      <c r="AN336" s="1085">
        <v>1</v>
      </c>
      <c r="AO336" s="1074">
        <v>120000</v>
      </c>
      <c r="AP336" s="1080"/>
    </row>
    <row r="337" spans="1:42" outlineLevel="2" x14ac:dyDescent="0.2">
      <c r="A337" s="1075">
        <v>506</v>
      </c>
      <c r="B337" s="1078"/>
      <c r="D337" s="1110" t="s">
        <v>758</v>
      </c>
      <c r="E337" s="1110" t="s">
        <v>758</v>
      </c>
      <c r="F337" s="1075">
        <v>823000</v>
      </c>
      <c r="M337" s="1075" t="s">
        <v>3144</v>
      </c>
      <c r="N337" s="1075" t="s">
        <v>1073</v>
      </c>
      <c r="O337" s="1077">
        <v>0</v>
      </c>
      <c r="Q337" s="1074">
        <v>0</v>
      </c>
      <c r="R337" s="1074"/>
      <c r="S337" s="1074"/>
      <c r="T337" s="1074"/>
      <c r="U337" s="1074"/>
      <c r="V337" s="1074"/>
      <c r="W337" s="1074"/>
      <c r="X337" s="1074"/>
      <c r="Y337" s="1074"/>
      <c r="Z337" s="1074"/>
      <c r="AA337" s="1074"/>
      <c r="AB337" s="1074"/>
      <c r="AC337" s="1074"/>
      <c r="AD337" s="1074"/>
      <c r="AE337" s="1074"/>
      <c r="AF337" s="1074"/>
      <c r="AG337" s="1095">
        <v>0</v>
      </c>
      <c r="AH337" s="1074">
        <v>0</v>
      </c>
      <c r="AI337" s="1074">
        <v>0</v>
      </c>
      <c r="AJ337" s="1077">
        <v>0</v>
      </c>
      <c r="AK337" s="1074">
        <v>0</v>
      </c>
      <c r="AL337" s="1109">
        <v>1</v>
      </c>
      <c r="AM337" s="1111">
        <v>20000</v>
      </c>
      <c r="AN337" s="1085">
        <v>1</v>
      </c>
      <c r="AO337" s="1074">
        <v>120000</v>
      </c>
      <c r="AP337" s="1080"/>
    </row>
    <row r="338" spans="1:42" outlineLevel="1" x14ac:dyDescent="0.2">
      <c r="B338" s="1078"/>
      <c r="F338" s="1088" t="s">
        <v>3124</v>
      </c>
      <c r="O338" s="1077">
        <f>SUBTOTAL(9,O335:O337)</f>
        <v>0.75</v>
      </c>
      <c r="Q338" s="1074">
        <f>SUBTOTAL(9,Q335:Q337)</f>
        <v>9817.7900000000009</v>
      </c>
      <c r="R338" s="1074"/>
      <c r="S338" s="1074"/>
      <c r="T338" s="1074"/>
      <c r="U338" s="1074"/>
      <c r="V338" s="1074"/>
      <c r="W338" s="1074"/>
      <c r="X338" s="1074"/>
      <c r="Y338" s="1074"/>
      <c r="Z338" s="1074"/>
      <c r="AA338" s="1074"/>
      <c r="AB338" s="1074"/>
      <c r="AC338" s="1074"/>
      <c r="AD338" s="1074"/>
      <c r="AE338" s="1074"/>
      <c r="AF338" s="1074"/>
      <c r="AG338" s="1095">
        <f t="shared" ref="AG338:AM338" si="153">SUBTOTAL(9,AG335:AG337)</f>
        <v>66659.77</v>
      </c>
      <c r="AH338" s="1074">
        <f t="shared" si="153"/>
        <v>29453.370000000003</v>
      </c>
      <c r="AI338" s="1074">
        <f t="shared" si="153"/>
        <v>96113.140000000014</v>
      </c>
      <c r="AJ338" s="1077">
        <f t="shared" si="153"/>
        <v>0.8</v>
      </c>
      <c r="AK338" s="1074">
        <f t="shared" si="153"/>
        <v>82000</v>
      </c>
      <c r="AL338" s="1109">
        <f t="shared" si="153"/>
        <v>2.75</v>
      </c>
      <c r="AM338" s="1111">
        <f t="shared" si="153"/>
        <v>118035.40280000001</v>
      </c>
      <c r="AP338" s="1080">
        <f>SUBTOTAL(9,AP335:AP337)</f>
        <v>0</v>
      </c>
    </row>
    <row r="339" spans="1:42" outlineLevel="2" x14ac:dyDescent="0.2">
      <c r="A339" s="1075">
        <v>506</v>
      </c>
      <c r="B339" s="1078">
        <v>2625132</v>
      </c>
      <c r="C339" s="1075">
        <v>26251322</v>
      </c>
      <c r="D339" s="1075" t="s">
        <v>1419</v>
      </c>
      <c r="E339" s="1075" t="s">
        <v>2297</v>
      </c>
      <c r="F339" s="1075">
        <v>824000</v>
      </c>
      <c r="G339" s="1075" t="s">
        <v>2107</v>
      </c>
      <c r="H339" s="1075">
        <v>90534</v>
      </c>
      <c r="I339" s="1075">
        <v>0</v>
      </c>
      <c r="J339" s="1075">
        <v>5</v>
      </c>
      <c r="K339" s="1075">
        <v>5</v>
      </c>
      <c r="L339" s="1075">
        <v>0</v>
      </c>
      <c r="M339" s="1075" t="s">
        <v>504</v>
      </c>
      <c r="N339" s="1075" t="s">
        <v>504</v>
      </c>
      <c r="O339" s="1077">
        <f>P339/100</f>
        <v>0.5</v>
      </c>
      <c r="P339" s="1075">
        <v>50</v>
      </c>
      <c r="Q339" s="1074">
        <v>5293.9</v>
      </c>
      <c r="R339" s="1074">
        <v>794.05</v>
      </c>
      <c r="S339" s="1074">
        <v>139.91999999999999</v>
      </c>
      <c r="T339" s="1074">
        <v>4055.73</v>
      </c>
      <c r="U339" s="1074">
        <v>0</v>
      </c>
      <c r="V339" s="1074">
        <v>0</v>
      </c>
      <c r="W339" s="1074">
        <v>0</v>
      </c>
      <c r="X339" s="1074">
        <v>0</v>
      </c>
      <c r="Y339" s="1074">
        <v>21.85</v>
      </c>
      <c r="Z339" s="1074">
        <v>0</v>
      </c>
      <c r="AA339" s="1074">
        <v>4033.88</v>
      </c>
      <c r="AB339" s="1074">
        <v>304.2</v>
      </c>
      <c r="AC339" s="1074">
        <v>0</v>
      </c>
      <c r="AD339" s="1074">
        <v>0</v>
      </c>
      <c r="AE339" s="1074">
        <v>1824000</v>
      </c>
      <c r="AF339" s="1074" t="s">
        <v>251</v>
      </c>
      <c r="AG339" s="1095">
        <f>VLOOKUP(B339,עזר!A$2:B$329,2,FALSE)</f>
        <v>53892.55</v>
      </c>
      <c r="AH339" s="1074">
        <f>Q339*3</f>
        <v>15881.699999999999</v>
      </c>
      <c r="AI339" s="1074">
        <f>AH339+AG339</f>
        <v>69774.25</v>
      </c>
      <c r="AJ339" s="1077">
        <f>VLOOKUP(B339,Sheet1!D$2:K$430,7,FALSE)</f>
        <v>0.6</v>
      </c>
      <c r="AK339" s="1074">
        <f>VLOOKUP(B339,Sheet1!D$2:L$430,8,FALSE)</f>
        <v>60000</v>
      </c>
      <c r="AL339" s="1109">
        <f>O339</f>
        <v>0.5</v>
      </c>
      <c r="AM339" s="1074">
        <f>AI339*1.02</f>
        <v>71169.735000000001</v>
      </c>
      <c r="AN339" s="1085">
        <f t="shared" ref="AN339:AO342" si="154">AL339</f>
        <v>0.5</v>
      </c>
      <c r="AO339" s="1074">
        <f t="shared" si="154"/>
        <v>71169.735000000001</v>
      </c>
      <c r="AP339" s="1080"/>
    </row>
    <row r="340" spans="1:42" outlineLevel="2" x14ac:dyDescent="0.2">
      <c r="A340" s="1075">
        <v>506</v>
      </c>
      <c r="B340" s="1078">
        <v>2750789</v>
      </c>
      <c r="C340" s="1075">
        <v>27507896</v>
      </c>
      <c r="D340" s="1075" t="s">
        <v>932</v>
      </c>
      <c r="E340" s="1075" t="s">
        <v>1034</v>
      </c>
      <c r="F340" s="1075">
        <v>824000</v>
      </c>
      <c r="G340" s="1075" t="s">
        <v>2107</v>
      </c>
      <c r="H340" s="1075">
        <v>90534</v>
      </c>
      <c r="I340" s="1075">
        <v>0</v>
      </c>
      <c r="J340" s="1075">
        <v>5</v>
      </c>
      <c r="K340" s="1075">
        <v>6</v>
      </c>
      <c r="L340" s="1075">
        <v>0</v>
      </c>
      <c r="M340" s="1075" t="s">
        <v>504</v>
      </c>
      <c r="N340" s="1075" t="s">
        <v>504</v>
      </c>
      <c r="O340" s="1077">
        <f>P340/100</f>
        <v>0.5</v>
      </c>
      <c r="P340" s="1075">
        <v>50</v>
      </c>
      <c r="Q340" s="1074">
        <v>3865.33</v>
      </c>
      <c r="R340" s="1074">
        <v>585.15</v>
      </c>
      <c r="S340" s="1074">
        <v>120.19</v>
      </c>
      <c r="T340" s="1074">
        <v>2898.69</v>
      </c>
      <c r="U340" s="1074">
        <v>0</v>
      </c>
      <c r="V340" s="1074">
        <v>0</v>
      </c>
      <c r="W340" s="1074">
        <v>0</v>
      </c>
      <c r="X340" s="1074">
        <v>0</v>
      </c>
      <c r="Y340" s="1074">
        <v>147.1</v>
      </c>
      <c r="Z340" s="1074">
        <v>0</v>
      </c>
      <c r="AA340" s="1074">
        <v>2751.59</v>
      </c>
      <c r="AB340" s="1074">
        <v>261.3</v>
      </c>
      <c r="AC340" s="1074">
        <v>0</v>
      </c>
      <c r="AD340" s="1074">
        <v>0</v>
      </c>
      <c r="AE340" s="1074">
        <v>1824000</v>
      </c>
      <c r="AF340" s="1074" t="s">
        <v>251</v>
      </c>
      <c r="AG340" s="1095">
        <f>VLOOKUP(B340,עזר!A$2:B$329,2,FALSE)</f>
        <v>39175.919999999998</v>
      </c>
      <c r="AH340" s="1074">
        <f>Q340*3</f>
        <v>11595.99</v>
      </c>
      <c r="AI340" s="1074">
        <f>AH340+AG340</f>
        <v>50771.909999999996</v>
      </c>
      <c r="AJ340" s="1077">
        <f>VLOOKUP(B340,Sheet1!D$2:K$430,7,FALSE)</f>
        <v>0.6</v>
      </c>
      <c r="AK340" s="1074">
        <f>VLOOKUP(B340,Sheet1!D$2:L$430,8,FALSE)</f>
        <v>55000</v>
      </c>
      <c r="AL340" s="1109">
        <f>O340</f>
        <v>0.5</v>
      </c>
      <c r="AM340" s="1074">
        <f>AI340*1.02</f>
        <v>51787.3482</v>
      </c>
      <c r="AN340" s="1085">
        <f t="shared" si="154"/>
        <v>0.5</v>
      </c>
      <c r="AO340" s="1074">
        <f t="shared" si="154"/>
        <v>51787.3482</v>
      </c>
      <c r="AP340" s="1080"/>
    </row>
    <row r="341" spans="1:42" outlineLevel="2" x14ac:dyDescent="0.2">
      <c r="A341" s="1075">
        <v>506</v>
      </c>
      <c r="B341" s="1078">
        <v>5897797</v>
      </c>
      <c r="C341" s="1075">
        <v>58977976</v>
      </c>
      <c r="D341" s="1075" t="s">
        <v>2131</v>
      </c>
      <c r="E341" s="1075" t="s">
        <v>2298</v>
      </c>
      <c r="F341" s="1075">
        <v>824000</v>
      </c>
      <c r="G341" s="1075" t="s">
        <v>2107</v>
      </c>
      <c r="H341" s="1075">
        <v>90534</v>
      </c>
      <c r="I341" s="1075">
        <v>0</v>
      </c>
      <c r="J341" s="1075">
        <v>5</v>
      </c>
      <c r="K341" s="1075">
        <v>37</v>
      </c>
      <c r="L341" s="1075">
        <v>0</v>
      </c>
      <c r="M341" s="1075" t="s">
        <v>504</v>
      </c>
      <c r="N341" s="1075" t="s">
        <v>504</v>
      </c>
      <c r="O341" s="1077">
        <f>P341/100</f>
        <v>1</v>
      </c>
      <c r="P341" s="1075">
        <v>100</v>
      </c>
      <c r="Q341" s="1074">
        <v>8273.56</v>
      </c>
      <c r="R341" s="1074">
        <v>1274.95</v>
      </c>
      <c r="S341" s="1074">
        <v>236.7</v>
      </c>
      <c r="T341" s="1074">
        <v>6290.16</v>
      </c>
      <c r="U341" s="1074">
        <v>0</v>
      </c>
      <c r="V341" s="1074">
        <v>0</v>
      </c>
      <c r="W341" s="1074">
        <v>0</v>
      </c>
      <c r="X341" s="1074">
        <v>0</v>
      </c>
      <c r="Y341" s="1074">
        <v>222.9</v>
      </c>
      <c r="Z341" s="1074">
        <v>0</v>
      </c>
      <c r="AA341" s="1074">
        <v>6067.26</v>
      </c>
      <c r="AB341" s="1074">
        <v>471.75</v>
      </c>
      <c r="AC341" s="1074">
        <v>0</v>
      </c>
      <c r="AD341" s="1074">
        <v>0</v>
      </c>
      <c r="AE341" s="1074">
        <v>1824000</v>
      </c>
      <c r="AF341" s="1074" t="s">
        <v>251</v>
      </c>
      <c r="AG341" s="1095">
        <f>VLOOKUP(B341,עזר!A$2:B$329,2,FALSE)</f>
        <v>84109.11</v>
      </c>
      <c r="AH341" s="1074">
        <f>Q341*3</f>
        <v>24820.68</v>
      </c>
      <c r="AI341" s="1074">
        <f>AH341+AG341</f>
        <v>108929.79000000001</v>
      </c>
      <c r="AJ341" s="1077">
        <f>VLOOKUP(B341,Sheet1!D$2:K$430,7,FALSE)</f>
        <v>1</v>
      </c>
      <c r="AK341" s="1074">
        <f>VLOOKUP(B341,Sheet1!D$2:L$430,8,FALSE)</f>
        <v>99700</v>
      </c>
      <c r="AL341" s="1109">
        <f>O341</f>
        <v>1</v>
      </c>
      <c r="AM341" s="1074">
        <f>AI341*1.02</f>
        <v>111108.3858</v>
      </c>
      <c r="AN341" s="1085">
        <f t="shared" si="154"/>
        <v>1</v>
      </c>
      <c r="AO341" s="1074">
        <f t="shared" si="154"/>
        <v>111108.3858</v>
      </c>
      <c r="AP341" s="1080"/>
    </row>
    <row r="342" spans="1:42" outlineLevel="2" x14ac:dyDescent="0.2">
      <c r="A342" s="1075">
        <v>506</v>
      </c>
      <c r="B342" s="1078">
        <v>99999999</v>
      </c>
      <c r="C342" s="1075">
        <v>99999999</v>
      </c>
      <c r="D342" s="1110" t="s">
        <v>758</v>
      </c>
      <c r="E342" s="1110" t="s">
        <v>758</v>
      </c>
      <c r="F342" s="1075">
        <v>824000</v>
      </c>
      <c r="M342" s="1075" t="s">
        <v>2775</v>
      </c>
      <c r="N342" s="1075" t="s">
        <v>2775</v>
      </c>
      <c r="O342" s="1077">
        <v>0</v>
      </c>
      <c r="Q342" s="1085">
        <v>0</v>
      </c>
      <c r="R342" s="1085"/>
      <c r="S342" s="1085"/>
      <c r="T342" s="1085"/>
      <c r="U342" s="1085"/>
      <c r="V342" s="1085"/>
      <c r="W342" s="1085"/>
      <c r="X342" s="1085"/>
      <c r="Y342" s="1085"/>
      <c r="Z342" s="1085"/>
      <c r="AA342" s="1085"/>
      <c r="AB342" s="1085"/>
      <c r="AC342" s="1085"/>
      <c r="AD342" s="1085"/>
      <c r="AE342" s="1085"/>
      <c r="AF342" s="1085"/>
      <c r="AG342" s="1096">
        <v>0</v>
      </c>
      <c r="AH342" s="1085">
        <f>Q342*3</f>
        <v>0</v>
      </c>
      <c r="AI342" s="1085">
        <v>0</v>
      </c>
      <c r="AJ342" s="1077">
        <v>0.5</v>
      </c>
      <c r="AK342" s="1074">
        <v>40000</v>
      </c>
      <c r="AL342" s="1109">
        <f>O342</f>
        <v>0</v>
      </c>
      <c r="AM342" s="1074">
        <f>AI342*1.02</f>
        <v>0</v>
      </c>
      <c r="AN342" s="1085">
        <f t="shared" si="154"/>
        <v>0</v>
      </c>
      <c r="AO342" s="1074">
        <f t="shared" si="154"/>
        <v>0</v>
      </c>
      <c r="AP342" s="1080"/>
    </row>
    <row r="343" spans="1:42" outlineLevel="1" x14ac:dyDescent="0.2">
      <c r="B343" s="1078"/>
      <c r="F343" s="1088" t="s">
        <v>3125</v>
      </c>
      <c r="O343" s="1077">
        <f>SUBTOTAL(9,O339:O342)</f>
        <v>2</v>
      </c>
      <c r="Q343" s="1085">
        <f>SUBTOTAL(9,Q339:Q342)</f>
        <v>17432.79</v>
      </c>
      <c r="R343" s="1085"/>
      <c r="S343" s="1085"/>
      <c r="T343" s="1085"/>
      <c r="U343" s="1085"/>
      <c r="V343" s="1085"/>
      <c r="W343" s="1085"/>
      <c r="X343" s="1085"/>
      <c r="Y343" s="1085"/>
      <c r="Z343" s="1085"/>
      <c r="AA343" s="1085"/>
      <c r="AB343" s="1085"/>
      <c r="AC343" s="1085"/>
      <c r="AD343" s="1085"/>
      <c r="AE343" s="1085"/>
      <c r="AF343" s="1085"/>
      <c r="AG343" s="1096">
        <f t="shared" ref="AG343:AM343" si="155">SUBTOTAL(9,AG339:AG342)</f>
        <v>177177.58000000002</v>
      </c>
      <c r="AH343" s="1085">
        <f t="shared" si="155"/>
        <v>52298.369999999995</v>
      </c>
      <c r="AI343" s="1085">
        <f t="shared" si="155"/>
        <v>229475.95</v>
      </c>
      <c r="AJ343" s="1077">
        <f t="shared" si="155"/>
        <v>2.7</v>
      </c>
      <c r="AK343" s="1074">
        <f t="shared" si="155"/>
        <v>254700</v>
      </c>
      <c r="AL343" s="1109">
        <f t="shared" si="155"/>
        <v>2</v>
      </c>
      <c r="AM343" s="1074">
        <f t="shared" si="155"/>
        <v>234065.46899999998</v>
      </c>
      <c r="AP343" s="1080">
        <f>SUBTOTAL(9,AP339:AP342)</f>
        <v>0</v>
      </c>
    </row>
    <row r="344" spans="1:42" outlineLevel="2" x14ac:dyDescent="0.2">
      <c r="A344" s="1075">
        <v>506</v>
      </c>
      <c r="B344" s="1078">
        <v>5763010</v>
      </c>
      <c r="C344" s="1075">
        <v>57630105</v>
      </c>
      <c r="D344" s="1075" t="s">
        <v>2173</v>
      </c>
      <c r="E344" s="1075" t="s">
        <v>2299</v>
      </c>
      <c r="F344" s="1075">
        <v>825000</v>
      </c>
      <c r="G344" s="1075" t="s">
        <v>2107</v>
      </c>
      <c r="H344" s="1075">
        <v>90534</v>
      </c>
      <c r="I344" s="1075">
        <v>0</v>
      </c>
      <c r="J344" s="1075">
        <v>5</v>
      </c>
      <c r="K344" s="1075">
        <v>5</v>
      </c>
      <c r="L344" s="1075">
        <v>0</v>
      </c>
      <c r="M344" s="1075" t="s">
        <v>1037</v>
      </c>
      <c r="N344" s="1075" t="s">
        <v>1037</v>
      </c>
      <c r="O344" s="1077">
        <f>P344/100</f>
        <v>0.5</v>
      </c>
      <c r="P344" s="1075">
        <v>50</v>
      </c>
      <c r="Q344" s="1074">
        <v>4387.3500000000004</v>
      </c>
      <c r="R344" s="1074">
        <v>683.6</v>
      </c>
      <c r="S344" s="1074">
        <v>115.17</v>
      </c>
      <c r="T344" s="1074">
        <v>3338.23</v>
      </c>
      <c r="U344" s="1074">
        <v>0</v>
      </c>
      <c r="V344" s="1074">
        <v>0</v>
      </c>
      <c r="W344" s="1074">
        <v>0</v>
      </c>
      <c r="X344" s="1074">
        <v>0</v>
      </c>
      <c r="Y344" s="1074">
        <v>109</v>
      </c>
      <c r="Z344" s="1074">
        <v>0</v>
      </c>
      <c r="AA344" s="1074">
        <v>3229.23</v>
      </c>
      <c r="AB344" s="1074">
        <v>250.35</v>
      </c>
      <c r="AC344" s="1074">
        <v>0</v>
      </c>
      <c r="AD344" s="1074">
        <v>0</v>
      </c>
      <c r="AE344" s="1074">
        <v>1825000</v>
      </c>
      <c r="AF344" s="1074" t="s">
        <v>251</v>
      </c>
      <c r="AG344" s="1095">
        <f>VLOOKUP(B344,עזר!A$2:B$329,2,FALSE)</f>
        <v>44769.79</v>
      </c>
      <c r="AH344" s="1074">
        <f>Q344*3</f>
        <v>13162.050000000001</v>
      </c>
      <c r="AI344" s="1074">
        <f>AH344+AG344</f>
        <v>57931.840000000004</v>
      </c>
      <c r="AJ344" s="1077">
        <f>VLOOKUP(B344,Sheet1!D$2:K$430,7,FALSE)</f>
        <v>0.6</v>
      </c>
      <c r="AK344" s="1074">
        <f>VLOOKUP(B344,Sheet1!D$2:L$430,8,FALSE)</f>
        <v>57000</v>
      </c>
      <c r="AL344" s="1109">
        <f>O344</f>
        <v>0.5</v>
      </c>
      <c r="AM344" s="1074">
        <f>AI344*1.02</f>
        <v>59090.476800000004</v>
      </c>
      <c r="AN344" s="1085">
        <f>AL344</f>
        <v>0.5</v>
      </c>
      <c r="AO344" s="1074">
        <f>AM344</f>
        <v>59090.476800000004</v>
      </c>
      <c r="AP344" s="1080"/>
    </row>
    <row r="345" spans="1:42" outlineLevel="1" x14ac:dyDescent="0.2">
      <c r="B345" s="1078"/>
      <c r="F345" s="1088" t="s">
        <v>3126</v>
      </c>
      <c r="O345" s="1077">
        <f>SUBTOTAL(9,O344:O344)</f>
        <v>0.5</v>
      </c>
      <c r="Q345" s="1074">
        <f>SUBTOTAL(9,Q344:Q344)</f>
        <v>4387.3500000000004</v>
      </c>
      <c r="R345" s="1074"/>
      <c r="S345" s="1074"/>
      <c r="T345" s="1074"/>
      <c r="U345" s="1074"/>
      <c r="V345" s="1074"/>
      <c r="W345" s="1074"/>
      <c r="X345" s="1074"/>
      <c r="Y345" s="1074"/>
      <c r="Z345" s="1074"/>
      <c r="AA345" s="1074"/>
      <c r="AB345" s="1074"/>
      <c r="AC345" s="1074"/>
      <c r="AD345" s="1074"/>
      <c r="AE345" s="1074"/>
      <c r="AF345" s="1074"/>
      <c r="AG345" s="1095">
        <f t="shared" ref="AG345:AM345" si="156">SUBTOTAL(9,AG344:AG344)</f>
        <v>44769.79</v>
      </c>
      <c r="AH345" s="1074">
        <f t="shared" si="156"/>
        <v>13162.050000000001</v>
      </c>
      <c r="AI345" s="1074">
        <f t="shared" si="156"/>
        <v>57931.840000000004</v>
      </c>
      <c r="AJ345" s="1077">
        <f t="shared" si="156"/>
        <v>0.6</v>
      </c>
      <c r="AK345" s="1074">
        <f t="shared" si="156"/>
        <v>57000</v>
      </c>
      <c r="AL345" s="1109">
        <f t="shared" si="156"/>
        <v>0.5</v>
      </c>
      <c r="AM345" s="1074">
        <f t="shared" si="156"/>
        <v>59090.476800000004</v>
      </c>
      <c r="AP345" s="1080">
        <f>SUBTOTAL(9,AP344:AP344)</f>
        <v>0</v>
      </c>
    </row>
    <row r="346" spans="1:42" outlineLevel="2" x14ac:dyDescent="0.2">
      <c r="A346" s="1075">
        <v>506</v>
      </c>
      <c r="B346" s="1078">
        <v>2474642</v>
      </c>
      <c r="C346" s="1075">
        <v>24746422</v>
      </c>
      <c r="D346" s="1075" t="s">
        <v>2198</v>
      </c>
      <c r="E346" s="1075" t="s">
        <v>2300</v>
      </c>
      <c r="F346" s="1075">
        <v>828100</v>
      </c>
      <c r="G346" s="1075" t="s">
        <v>2107</v>
      </c>
      <c r="H346" s="1075">
        <v>90534</v>
      </c>
      <c r="I346" s="1075">
        <v>0</v>
      </c>
      <c r="J346" s="1075">
        <v>5</v>
      </c>
      <c r="K346" s="1075">
        <v>6</v>
      </c>
      <c r="L346" s="1075">
        <v>0</v>
      </c>
      <c r="M346" s="1075" t="s">
        <v>1049</v>
      </c>
      <c r="N346" s="1075" t="s">
        <v>1049</v>
      </c>
      <c r="O346" s="1077">
        <f>P346/100</f>
        <v>1</v>
      </c>
      <c r="P346" s="1075">
        <v>100</v>
      </c>
      <c r="Q346" s="1074">
        <v>7336.5</v>
      </c>
      <c r="R346" s="1074">
        <v>1160.6500000000001</v>
      </c>
      <c r="S346" s="1074">
        <v>194.35</v>
      </c>
      <c r="T346" s="1074">
        <v>5559</v>
      </c>
      <c r="U346" s="1074">
        <v>0</v>
      </c>
      <c r="V346" s="1074">
        <v>0</v>
      </c>
      <c r="W346" s="1074">
        <v>0</v>
      </c>
      <c r="X346" s="1074">
        <v>0</v>
      </c>
      <c r="Y346" s="1074">
        <v>42.55</v>
      </c>
      <c r="Z346" s="1074">
        <v>0</v>
      </c>
      <c r="AA346" s="1074">
        <v>5516.45</v>
      </c>
      <c r="AB346" s="1074">
        <v>422.5</v>
      </c>
      <c r="AC346" s="1074">
        <v>0</v>
      </c>
      <c r="AD346" s="1074">
        <v>0</v>
      </c>
      <c r="AE346" s="1074">
        <v>1828100</v>
      </c>
      <c r="AF346" s="1074" t="s">
        <v>251</v>
      </c>
      <c r="AG346" s="1095">
        <f>VLOOKUP(B346,עזר!A$2:B$329,2,FALSE)</f>
        <v>73121.570000000007</v>
      </c>
      <c r="AH346" s="1074">
        <f>Q346*3</f>
        <v>22009.5</v>
      </c>
      <c r="AI346" s="1074">
        <f>AH346+AG346</f>
        <v>95131.07</v>
      </c>
      <c r="AJ346" s="1077">
        <f>VLOOKUP(B346,Sheet1!D$2:K$430,7,FALSE)</f>
        <v>1</v>
      </c>
      <c r="AK346" s="1074">
        <f>VLOOKUP(B346,Sheet1!D$2:L$430,8,FALSE)</f>
        <v>70000</v>
      </c>
      <c r="AL346" s="1109">
        <v>0</v>
      </c>
      <c r="AM346" s="1074">
        <v>0</v>
      </c>
      <c r="AN346" s="1085">
        <f t="shared" ref="AN346:AO350" si="157">AL346</f>
        <v>0</v>
      </c>
      <c r="AO346" s="1074">
        <f t="shared" si="157"/>
        <v>0</v>
      </c>
      <c r="AP346" s="1080"/>
    </row>
    <row r="347" spans="1:42" outlineLevel="2" x14ac:dyDescent="0.2">
      <c r="A347" s="1075">
        <v>506</v>
      </c>
      <c r="B347" s="1075">
        <v>2617868</v>
      </c>
      <c r="C347" s="1075">
        <v>26178681</v>
      </c>
      <c r="D347" s="1075" t="s">
        <v>2117</v>
      </c>
      <c r="E347" s="1075" t="s">
        <v>2394</v>
      </c>
      <c r="F347" s="1075">
        <v>828100</v>
      </c>
      <c r="G347" s="1075" t="s">
        <v>2384</v>
      </c>
      <c r="H347" s="1075">
        <v>90534</v>
      </c>
      <c r="I347" s="1075">
        <v>1</v>
      </c>
      <c r="J347" s="1075">
        <v>0</v>
      </c>
      <c r="K347" s="1075">
        <v>0</v>
      </c>
      <c r="L347" s="1075">
        <v>0</v>
      </c>
      <c r="M347" s="1075" t="s">
        <v>1049</v>
      </c>
      <c r="N347" s="1075" t="s">
        <v>1049</v>
      </c>
      <c r="O347" s="1077">
        <v>0</v>
      </c>
      <c r="Q347" s="1074">
        <v>0</v>
      </c>
      <c r="R347" s="1074"/>
      <c r="S347" s="1074"/>
      <c r="T347" s="1074"/>
      <c r="U347" s="1074"/>
      <c r="V347" s="1074"/>
      <c r="W347" s="1074"/>
      <c r="X347" s="1074"/>
      <c r="Y347" s="1074"/>
      <c r="Z347" s="1074"/>
      <c r="AA347" s="1074"/>
      <c r="AB347" s="1074"/>
      <c r="AC347" s="1074"/>
      <c r="AD347" s="1074"/>
      <c r="AE347" s="1074"/>
      <c r="AF347" s="1074"/>
      <c r="AG347" s="1095">
        <v>0</v>
      </c>
      <c r="AH347" s="1074">
        <v>0</v>
      </c>
      <c r="AI347" s="1074">
        <f>AH347+AG347</f>
        <v>0</v>
      </c>
      <c r="AJ347" s="1077">
        <f>VLOOKUP(B347,Sheet1!D$2:K$430,7,FALSE)</f>
        <v>1</v>
      </c>
      <c r="AK347" s="1074">
        <f>VLOOKUP(B347,Sheet1!D$2:L$430,8,FALSE)</f>
        <v>117000</v>
      </c>
      <c r="AL347" s="1109">
        <f>O347</f>
        <v>0</v>
      </c>
      <c r="AM347" s="1074">
        <f>AI347*1.02</f>
        <v>0</v>
      </c>
      <c r="AN347" s="1085">
        <f t="shared" si="157"/>
        <v>0</v>
      </c>
      <c r="AO347" s="1074">
        <f t="shared" si="157"/>
        <v>0</v>
      </c>
      <c r="AP347" s="1080"/>
    </row>
    <row r="348" spans="1:42" outlineLevel="2" x14ac:dyDescent="0.2">
      <c r="A348" s="1075">
        <v>506</v>
      </c>
      <c r="B348" s="1078">
        <v>5944923</v>
      </c>
      <c r="C348" s="1075">
        <v>59449231</v>
      </c>
      <c r="D348" s="1075" t="s">
        <v>2112</v>
      </c>
      <c r="E348" s="1075" t="s">
        <v>2301</v>
      </c>
      <c r="F348" s="1075">
        <v>828100</v>
      </c>
      <c r="G348" s="1075" t="s">
        <v>2107</v>
      </c>
      <c r="H348" s="1075">
        <v>90534</v>
      </c>
      <c r="I348" s="1075">
        <v>0</v>
      </c>
      <c r="J348" s="1075">
        <v>72</v>
      </c>
      <c r="K348" s="1075">
        <v>70</v>
      </c>
      <c r="L348" s="1075">
        <v>0</v>
      </c>
      <c r="M348" s="1075" t="s">
        <v>1049</v>
      </c>
      <c r="N348" s="1075" t="s">
        <v>1049</v>
      </c>
      <c r="O348" s="1077">
        <f>P348/100</f>
        <v>1</v>
      </c>
      <c r="P348" s="1075">
        <v>100</v>
      </c>
      <c r="Q348" s="1074">
        <v>12674.94</v>
      </c>
      <c r="R348" s="1074">
        <v>967.3</v>
      </c>
      <c r="S348" s="1074">
        <v>543.80999999999995</v>
      </c>
      <c r="T348" s="1074">
        <v>10384.98</v>
      </c>
      <c r="U348" s="1074">
        <v>0</v>
      </c>
      <c r="V348" s="1074">
        <v>0</v>
      </c>
      <c r="W348" s="1074">
        <v>271.2</v>
      </c>
      <c r="X348" s="1074">
        <v>1738.85</v>
      </c>
      <c r="Y348" s="1074">
        <v>193.85</v>
      </c>
      <c r="Z348" s="1074">
        <v>0</v>
      </c>
      <c r="AA348" s="1074">
        <v>8181.08</v>
      </c>
      <c r="AB348" s="1074">
        <v>778.85</v>
      </c>
      <c r="AC348" s="1074">
        <v>0</v>
      </c>
      <c r="AD348" s="1074">
        <v>0</v>
      </c>
      <c r="AE348" s="1074">
        <v>1828100</v>
      </c>
      <c r="AF348" s="1074" t="s">
        <v>251</v>
      </c>
      <c r="AG348" s="1095">
        <f>VLOOKUP(B348,עזר!A$2:B$329,2,FALSE)</f>
        <v>123236.76</v>
      </c>
      <c r="AH348" s="1074">
        <f>Q348*3</f>
        <v>38024.82</v>
      </c>
      <c r="AI348" s="1074">
        <f>AH348+AG348</f>
        <v>161261.57999999999</v>
      </c>
      <c r="AJ348" s="1077">
        <f>VLOOKUP(B348,Sheet1!D$2:K$430,7,FALSE)</f>
        <v>1</v>
      </c>
      <c r="AK348" s="1074">
        <f>VLOOKUP(B348,Sheet1!D$2:L$430,8,FALSE)</f>
        <v>130000</v>
      </c>
      <c r="AL348" s="1109">
        <f>O348</f>
        <v>1</v>
      </c>
      <c r="AM348" s="1074">
        <f>AI348*1.02</f>
        <v>164486.81159999999</v>
      </c>
      <c r="AN348" s="1085">
        <f t="shared" si="157"/>
        <v>1</v>
      </c>
      <c r="AO348" s="1074">
        <f t="shared" si="157"/>
        <v>164486.81159999999</v>
      </c>
      <c r="AP348" s="1080"/>
    </row>
    <row r="349" spans="1:42" outlineLevel="2" x14ac:dyDescent="0.2">
      <c r="A349" s="1075">
        <v>506</v>
      </c>
      <c r="B349" s="1078">
        <v>999999999</v>
      </c>
      <c r="C349" s="1075">
        <v>999999999</v>
      </c>
      <c r="D349" s="1110" t="s">
        <v>758</v>
      </c>
      <c r="E349" s="1110" t="s">
        <v>758</v>
      </c>
      <c r="F349" s="1075">
        <v>828100</v>
      </c>
      <c r="M349" s="1075" t="s">
        <v>1049</v>
      </c>
      <c r="N349" s="1075" t="s">
        <v>1049</v>
      </c>
      <c r="O349" s="1077">
        <v>0</v>
      </c>
      <c r="Q349" s="1085">
        <v>0</v>
      </c>
      <c r="R349" s="1085"/>
      <c r="S349" s="1085"/>
      <c r="T349" s="1085"/>
      <c r="U349" s="1085"/>
      <c r="V349" s="1085"/>
      <c r="W349" s="1085"/>
      <c r="X349" s="1085"/>
      <c r="Y349" s="1085"/>
      <c r="Z349" s="1085"/>
      <c r="AA349" s="1085"/>
      <c r="AB349" s="1085"/>
      <c r="AC349" s="1085"/>
      <c r="AD349" s="1085"/>
      <c r="AE349" s="1085"/>
      <c r="AF349" s="1085"/>
      <c r="AG349" s="1096">
        <v>0</v>
      </c>
      <c r="AH349" s="1085">
        <f>Q349*3</f>
        <v>0</v>
      </c>
      <c r="AI349" s="1085">
        <v>0</v>
      </c>
      <c r="AJ349" s="1077">
        <v>0.5</v>
      </c>
      <c r="AK349" s="1074">
        <v>40000</v>
      </c>
      <c r="AL349" s="1109">
        <f>O349</f>
        <v>0</v>
      </c>
      <c r="AM349" s="1074">
        <v>100000</v>
      </c>
      <c r="AN349" s="1085">
        <f t="shared" si="157"/>
        <v>0</v>
      </c>
      <c r="AO349" s="1074">
        <f t="shared" si="157"/>
        <v>100000</v>
      </c>
      <c r="AP349" s="1080"/>
    </row>
    <row r="350" spans="1:42" outlineLevel="2" x14ac:dyDescent="0.2">
      <c r="A350" s="1075">
        <v>506</v>
      </c>
      <c r="B350" s="1078">
        <v>999999999</v>
      </c>
      <c r="C350" s="1075">
        <v>999999999</v>
      </c>
      <c r="D350" s="1110" t="s">
        <v>758</v>
      </c>
      <c r="E350" s="1110" t="s">
        <v>758</v>
      </c>
      <c r="F350" s="1075">
        <v>828100</v>
      </c>
      <c r="M350" s="1075" t="s">
        <v>1049</v>
      </c>
      <c r="N350" s="1075" t="s">
        <v>1049</v>
      </c>
      <c r="O350" s="1077">
        <v>0</v>
      </c>
      <c r="Q350" s="1085">
        <v>0</v>
      </c>
      <c r="R350" s="1085"/>
      <c r="S350" s="1085"/>
      <c r="T350" s="1085"/>
      <c r="U350" s="1085"/>
      <c r="V350" s="1085"/>
      <c r="W350" s="1085"/>
      <c r="X350" s="1085"/>
      <c r="Y350" s="1085"/>
      <c r="Z350" s="1085"/>
      <c r="AA350" s="1085"/>
      <c r="AB350" s="1085"/>
      <c r="AC350" s="1085"/>
      <c r="AD350" s="1085"/>
      <c r="AE350" s="1085"/>
      <c r="AF350" s="1085"/>
      <c r="AG350" s="1096">
        <v>0</v>
      </c>
      <c r="AH350" s="1085">
        <f>Q350*3</f>
        <v>0</v>
      </c>
      <c r="AI350" s="1085">
        <v>0</v>
      </c>
      <c r="AJ350" s="1077">
        <v>0.25</v>
      </c>
      <c r="AK350" s="1074">
        <v>42000</v>
      </c>
      <c r="AL350" s="1109">
        <f>O350</f>
        <v>0</v>
      </c>
      <c r="AM350" s="1074">
        <f>AI350*1.02</f>
        <v>0</v>
      </c>
      <c r="AN350" s="1085">
        <f t="shared" si="157"/>
        <v>0</v>
      </c>
      <c r="AO350" s="1074">
        <f t="shared" si="157"/>
        <v>0</v>
      </c>
      <c r="AP350" s="1080"/>
    </row>
    <row r="351" spans="1:42" outlineLevel="1" x14ac:dyDescent="0.2">
      <c r="B351" s="1078"/>
      <c r="F351" s="1088" t="s">
        <v>3127</v>
      </c>
      <c r="O351" s="1077">
        <f>SUBTOTAL(9,O346:O350)</f>
        <v>2</v>
      </c>
      <c r="Q351" s="1085">
        <f>SUBTOTAL(9,Q346:Q350)</f>
        <v>20011.440000000002</v>
      </c>
      <c r="R351" s="1085"/>
      <c r="S351" s="1085"/>
      <c r="T351" s="1085"/>
      <c r="U351" s="1085"/>
      <c r="V351" s="1085"/>
      <c r="W351" s="1085"/>
      <c r="X351" s="1085"/>
      <c r="Y351" s="1085"/>
      <c r="Z351" s="1085"/>
      <c r="AA351" s="1085"/>
      <c r="AB351" s="1085"/>
      <c r="AC351" s="1085"/>
      <c r="AD351" s="1085"/>
      <c r="AE351" s="1085"/>
      <c r="AF351" s="1085"/>
      <c r="AG351" s="1096">
        <f t="shared" ref="AG351:AM351" si="158">SUBTOTAL(9,AG346:AG350)</f>
        <v>196358.33000000002</v>
      </c>
      <c r="AH351" s="1085">
        <f t="shared" si="158"/>
        <v>60034.32</v>
      </c>
      <c r="AI351" s="1085">
        <f t="shared" si="158"/>
        <v>256392.65</v>
      </c>
      <c r="AJ351" s="1077">
        <f t="shared" si="158"/>
        <v>3.75</v>
      </c>
      <c r="AK351" s="1074">
        <f t="shared" si="158"/>
        <v>399000</v>
      </c>
      <c r="AL351" s="1109">
        <f t="shared" si="158"/>
        <v>1</v>
      </c>
      <c r="AM351" s="1074">
        <f t="shared" si="158"/>
        <v>264486.81160000002</v>
      </c>
      <c r="AP351" s="1080">
        <f>SUBTOTAL(9,AP346:AP350)</f>
        <v>0</v>
      </c>
    </row>
    <row r="352" spans="1:42" outlineLevel="2" x14ac:dyDescent="0.2">
      <c r="A352" s="1075">
        <v>506</v>
      </c>
      <c r="B352" s="1078">
        <v>5079682</v>
      </c>
      <c r="C352" s="1075">
        <v>50796820</v>
      </c>
      <c r="D352" s="1075" t="s">
        <v>2170</v>
      </c>
      <c r="E352" s="1075" t="s">
        <v>2302</v>
      </c>
      <c r="F352" s="1075">
        <v>829000</v>
      </c>
      <c r="G352" s="1075" t="s">
        <v>2107</v>
      </c>
      <c r="H352" s="1075">
        <v>90534</v>
      </c>
      <c r="I352" s="1075">
        <v>0</v>
      </c>
      <c r="J352" s="1075">
        <v>5</v>
      </c>
      <c r="K352" s="1075">
        <v>9</v>
      </c>
      <c r="L352" s="1075">
        <v>0</v>
      </c>
      <c r="M352" s="1075" t="s">
        <v>1064</v>
      </c>
      <c r="N352" s="1075" t="s">
        <v>1064</v>
      </c>
      <c r="O352" s="1077">
        <f>P352/100</f>
        <v>1</v>
      </c>
      <c r="P352" s="1075">
        <v>100</v>
      </c>
      <c r="Q352" s="1074">
        <v>8359.2800000000007</v>
      </c>
      <c r="R352" s="1074">
        <v>1246.2</v>
      </c>
      <c r="S352" s="1074">
        <v>246.53</v>
      </c>
      <c r="T352" s="1074">
        <v>6384.95</v>
      </c>
      <c r="U352" s="1074">
        <v>0</v>
      </c>
      <c r="V352" s="1074">
        <v>0</v>
      </c>
      <c r="W352" s="1074">
        <v>0</v>
      </c>
      <c r="X352" s="1074">
        <v>367.45</v>
      </c>
      <c r="Y352" s="1074">
        <v>193.85</v>
      </c>
      <c r="Z352" s="1074">
        <v>0</v>
      </c>
      <c r="AA352" s="1074">
        <v>5823.65</v>
      </c>
      <c r="AB352" s="1074">
        <v>481.6</v>
      </c>
      <c r="AC352" s="1074">
        <v>0</v>
      </c>
      <c r="AD352" s="1074">
        <v>0</v>
      </c>
      <c r="AE352" s="1074">
        <v>1829000</v>
      </c>
      <c r="AF352" s="1074" t="s">
        <v>251</v>
      </c>
      <c r="AG352" s="1095">
        <f>VLOOKUP(B352,עזר!A$2:B$329,2,FALSE)</f>
        <v>85443.91</v>
      </c>
      <c r="AH352" s="1074">
        <f>Q352*3</f>
        <v>25077.840000000004</v>
      </c>
      <c r="AI352" s="1074">
        <f>AH352+AG352</f>
        <v>110521.75</v>
      </c>
      <c r="AJ352" s="1077">
        <f>VLOOKUP(B352,Sheet1!D$2:K$430,7,FALSE)</f>
        <v>1</v>
      </c>
      <c r="AK352" s="1074">
        <f>VLOOKUP(B352,Sheet1!D$2:L$430,8,FALSE)</f>
        <v>110000</v>
      </c>
      <c r="AL352" s="1109">
        <f>O352</f>
        <v>1</v>
      </c>
      <c r="AM352" s="1074">
        <f>AI352*1.02</f>
        <v>112732.185</v>
      </c>
      <c r="AN352" s="1085">
        <f t="shared" ref="AN352:AO354" si="159">AL352</f>
        <v>1</v>
      </c>
      <c r="AO352" s="1074">
        <f t="shared" si="159"/>
        <v>112732.185</v>
      </c>
      <c r="AP352" s="1080"/>
    </row>
    <row r="353" spans="1:43" outlineLevel="2" x14ac:dyDescent="0.2">
      <c r="A353" s="1075">
        <v>506</v>
      </c>
      <c r="B353" s="1078">
        <v>5934878</v>
      </c>
      <c r="C353" s="1075">
        <v>59348789</v>
      </c>
      <c r="D353" s="1075" t="s">
        <v>2185</v>
      </c>
      <c r="E353" s="1075" t="s">
        <v>2303</v>
      </c>
      <c r="F353" s="1075">
        <v>829000</v>
      </c>
      <c r="G353" s="1075" t="s">
        <v>2107</v>
      </c>
      <c r="H353" s="1075">
        <v>90534</v>
      </c>
      <c r="I353" s="1075">
        <v>0</v>
      </c>
      <c r="J353" s="1075">
        <v>5</v>
      </c>
      <c r="K353" s="1075">
        <v>37</v>
      </c>
      <c r="L353" s="1075">
        <v>0</v>
      </c>
      <c r="M353" s="1075" t="s">
        <v>1064</v>
      </c>
      <c r="N353" s="1075" t="s">
        <v>1064</v>
      </c>
      <c r="O353" s="1077">
        <f>P353/100</f>
        <v>1</v>
      </c>
      <c r="P353" s="1075">
        <v>100</v>
      </c>
      <c r="Q353" s="1074">
        <v>12818.88</v>
      </c>
      <c r="R353" s="1074">
        <v>684.55</v>
      </c>
      <c r="S353" s="1074">
        <v>573.36</v>
      </c>
      <c r="T353" s="1074">
        <v>10752.57</v>
      </c>
      <c r="U353" s="1074">
        <v>0</v>
      </c>
      <c r="V353" s="1074">
        <v>0</v>
      </c>
      <c r="W353" s="1074">
        <v>0</v>
      </c>
      <c r="X353" s="1074">
        <v>0</v>
      </c>
      <c r="Y353" s="1074">
        <v>203.5</v>
      </c>
      <c r="Z353" s="1074">
        <v>207.5</v>
      </c>
      <c r="AA353" s="1074">
        <v>10341.57</v>
      </c>
      <c r="AB353" s="1074">
        <v>808.4</v>
      </c>
      <c r="AC353" s="1074">
        <v>0</v>
      </c>
      <c r="AD353" s="1074">
        <v>0</v>
      </c>
      <c r="AE353" s="1074">
        <v>1829000</v>
      </c>
      <c r="AF353" s="1074" t="s">
        <v>251</v>
      </c>
      <c r="AG353" s="1095">
        <f>VLOOKUP(B353,עזר!A$2:B$329,2,FALSE)</f>
        <v>94015.92</v>
      </c>
      <c r="AH353" s="1074">
        <f>Q353*3</f>
        <v>38456.639999999999</v>
      </c>
      <c r="AI353" s="1074">
        <f>AH353+AG353</f>
        <v>132472.56</v>
      </c>
      <c r="AJ353" s="1077">
        <f>VLOOKUP(B353,Sheet1!D$2:K$430,7,FALSE)</f>
        <v>1</v>
      </c>
      <c r="AK353" s="1074">
        <f>VLOOKUP(B353,Sheet1!D$2:L$430,8,FALSE)</f>
        <v>114000</v>
      </c>
      <c r="AL353" s="1109">
        <f>O353</f>
        <v>1</v>
      </c>
      <c r="AM353" s="1074">
        <f>AI353*1.02</f>
        <v>135122.01120000001</v>
      </c>
      <c r="AN353" s="1085">
        <f t="shared" si="159"/>
        <v>1</v>
      </c>
      <c r="AO353" s="1074">
        <f t="shared" si="159"/>
        <v>135122.01120000001</v>
      </c>
      <c r="AP353" s="1080"/>
    </row>
    <row r="354" spans="1:43" outlineLevel="2" x14ac:dyDescent="0.2">
      <c r="A354" s="1075">
        <v>506</v>
      </c>
      <c r="B354" s="1078">
        <v>20055794</v>
      </c>
      <c r="C354" s="1075">
        <v>200557940</v>
      </c>
      <c r="D354" s="1075" t="s">
        <v>2216</v>
      </c>
      <c r="E354" s="1075" t="s">
        <v>2239</v>
      </c>
      <c r="F354" s="1075">
        <v>829000</v>
      </c>
      <c r="G354" s="1075" t="s">
        <v>2107</v>
      </c>
      <c r="H354" s="1075">
        <v>90534</v>
      </c>
      <c r="I354" s="1075">
        <v>1</v>
      </c>
      <c r="J354" s="1075">
        <v>0</v>
      </c>
      <c r="K354" s="1075">
        <v>0</v>
      </c>
      <c r="L354" s="1075">
        <v>0</v>
      </c>
      <c r="M354" s="1075" t="s">
        <v>1064</v>
      </c>
      <c r="N354" s="1075" t="s">
        <v>1064</v>
      </c>
      <c r="O354" s="1077">
        <f>P354/100</f>
        <v>0</v>
      </c>
      <c r="P354" s="1075">
        <v>0</v>
      </c>
      <c r="Q354" s="1074">
        <v>202.51</v>
      </c>
      <c r="R354" s="1074">
        <v>-3.26</v>
      </c>
      <c r="S354" s="1074">
        <v>6.45</v>
      </c>
      <c r="T354" s="1074">
        <v>185.35</v>
      </c>
      <c r="U354" s="1074">
        <v>0</v>
      </c>
      <c r="V354" s="1074">
        <v>0</v>
      </c>
      <c r="W354" s="1074">
        <v>0</v>
      </c>
      <c r="X354" s="1074">
        <v>0</v>
      </c>
      <c r="Y354" s="1074">
        <v>154.9</v>
      </c>
      <c r="Z354" s="1074">
        <v>0</v>
      </c>
      <c r="AA354" s="1074">
        <v>30.45</v>
      </c>
      <c r="AB354" s="1074">
        <v>13.97</v>
      </c>
      <c r="AC354" s="1074">
        <v>0</v>
      </c>
      <c r="AD354" s="1074">
        <v>0</v>
      </c>
      <c r="AE354" s="1074">
        <v>1829000</v>
      </c>
      <c r="AF354" s="1074" t="s">
        <v>251</v>
      </c>
      <c r="AG354" s="1095"/>
      <c r="AH354" s="1074">
        <f>Q354*3</f>
        <v>607.53</v>
      </c>
      <c r="AI354" s="1074">
        <f>AH354+AG354</f>
        <v>607.53</v>
      </c>
      <c r="AJ354" s="1077">
        <f>VLOOKUP(B354,Sheet1!D$2:K$430,7,FALSE)</f>
        <v>0.6</v>
      </c>
      <c r="AK354" s="1074">
        <f>VLOOKUP(B354,Sheet1!D$2:L$430,8,FALSE)</f>
        <v>30000</v>
      </c>
      <c r="AL354" s="1109">
        <v>0</v>
      </c>
      <c r="AM354" s="1074">
        <v>60000</v>
      </c>
      <c r="AN354" s="1085">
        <f t="shared" si="159"/>
        <v>0</v>
      </c>
      <c r="AO354" s="1074">
        <f t="shared" si="159"/>
        <v>60000</v>
      </c>
      <c r="AP354" s="1080"/>
    </row>
    <row r="355" spans="1:43" outlineLevel="2" x14ac:dyDescent="0.2">
      <c r="A355" s="1075">
        <v>506</v>
      </c>
      <c r="B355" s="1078"/>
      <c r="D355" s="1110" t="s">
        <v>758</v>
      </c>
      <c r="E355" s="1110" t="s">
        <v>758</v>
      </c>
      <c r="F355" s="1075">
        <v>829000</v>
      </c>
      <c r="M355" s="1075" t="s">
        <v>1064</v>
      </c>
      <c r="N355" s="1075" t="s">
        <v>3193</v>
      </c>
      <c r="O355" s="1077">
        <v>0</v>
      </c>
      <c r="Q355" s="1074">
        <v>0</v>
      </c>
      <c r="R355" s="1074"/>
      <c r="S355" s="1074"/>
      <c r="T355" s="1074"/>
      <c r="U355" s="1074"/>
      <c r="V355" s="1074"/>
      <c r="W355" s="1074"/>
      <c r="X355" s="1074"/>
      <c r="Y355" s="1074"/>
      <c r="Z355" s="1074"/>
      <c r="AA355" s="1074"/>
      <c r="AB355" s="1074"/>
      <c r="AC355" s="1074"/>
      <c r="AD355" s="1074"/>
      <c r="AE355" s="1074"/>
      <c r="AF355" s="1074"/>
      <c r="AG355" s="1095">
        <v>0</v>
      </c>
      <c r="AH355" s="1074">
        <v>0</v>
      </c>
      <c r="AI355" s="1074">
        <v>0</v>
      </c>
      <c r="AJ355" s="1077">
        <v>0</v>
      </c>
      <c r="AK355" s="1074">
        <v>0</v>
      </c>
      <c r="AL355" s="1109">
        <v>1</v>
      </c>
      <c r="AM355" s="1111">
        <v>0</v>
      </c>
      <c r="AN355" s="1085">
        <v>1</v>
      </c>
      <c r="AO355" s="1074">
        <v>120000</v>
      </c>
      <c r="AP355" s="1080"/>
    </row>
    <row r="356" spans="1:43" outlineLevel="2" x14ac:dyDescent="0.2">
      <c r="A356" s="1075">
        <v>506</v>
      </c>
      <c r="B356" s="1078"/>
      <c r="D356" s="1110" t="s">
        <v>758</v>
      </c>
      <c r="E356" s="1110" t="s">
        <v>758</v>
      </c>
      <c r="F356" s="1075">
        <v>829000</v>
      </c>
      <c r="M356" s="1075" t="s">
        <v>1064</v>
      </c>
      <c r="N356" s="1075" t="s">
        <v>3143</v>
      </c>
      <c r="O356" s="1077">
        <v>0</v>
      </c>
      <c r="Q356" s="1074">
        <v>0</v>
      </c>
      <c r="R356" s="1074"/>
      <c r="S356" s="1074"/>
      <c r="T356" s="1074"/>
      <c r="U356" s="1074"/>
      <c r="V356" s="1074"/>
      <c r="W356" s="1074"/>
      <c r="X356" s="1074"/>
      <c r="Y356" s="1074"/>
      <c r="Z356" s="1074"/>
      <c r="AA356" s="1074"/>
      <c r="AB356" s="1074"/>
      <c r="AC356" s="1074"/>
      <c r="AD356" s="1074"/>
      <c r="AE356" s="1074"/>
      <c r="AF356" s="1074"/>
      <c r="AG356" s="1095">
        <v>0</v>
      </c>
      <c r="AH356" s="1074">
        <v>0</v>
      </c>
      <c r="AI356" s="1074">
        <v>0</v>
      </c>
      <c r="AJ356" s="1077">
        <v>0</v>
      </c>
      <c r="AK356" s="1074">
        <v>0</v>
      </c>
      <c r="AL356" s="1109">
        <v>1</v>
      </c>
      <c r="AM356" s="1111">
        <v>0</v>
      </c>
      <c r="AN356" s="1085">
        <v>1</v>
      </c>
      <c r="AO356" s="1074">
        <v>120000</v>
      </c>
      <c r="AP356" s="1080"/>
    </row>
    <row r="357" spans="1:43" outlineLevel="2" x14ac:dyDescent="0.2">
      <c r="A357" s="1075">
        <v>506</v>
      </c>
      <c r="B357" s="1078"/>
      <c r="D357" s="1110" t="s">
        <v>758</v>
      </c>
      <c r="E357" s="1110" t="s">
        <v>758</v>
      </c>
      <c r="F357" s="1075">
        <v>829000</v>
      </c>
      <c r="M357" s="1075" t="s">
        <v>1064</v>
      </c>
      <c r="N357" s="1075" t="s">
        <v>3196</v>
      </c>
      <c r="Q357" s="1074"/>
      <c r="R357" s="1074"/>
      <c r="S357" s="1074"/>
      <c r="T357" s="1074"/>
      <c r="U357" s="1074"/>
      <c r="V357" s="1074"/>
      <c r="W357" s="1074"/>
      <c r="X357" s="1074"/>
      <c r="Y357" s="1074"/>
      <c r="Z357" s="1074"/>
      <c r="AA357" s="1074"/>
      <c r="AB357" s="1074"/>
      <c r="AC357" s="1074"/>
      <c r="AD357" s="1074"/>
      <c r="AE357" s="1074"/>
      <c r="AF357" s="1074"/>
      <c r="AG357" s="1095"/>
      <c r="AH357" s="1074"/>
      <c r="AI357" s="1074"/>
      <c r="AK357" s="1074"/>
      <c r="AL357" s="1109">
        <v>1</v>
      </c>
      <c r="AM357" s="1111">
        <v>0</v>
      </c>
      <c r="AP357" s="1080"/>
    </row>
    <row r="358" spans="1:43" outlineLevel="1" x14ac:dyDescent="0.2">
      <c r="B358" s="1078"/>
      <c r="F358" s="1088" t="s">
        <v>3128</v>
      </c>
      <c r="O358" s="1077">
        <f>SUBTOTAL(9,O352:O357)</f>
        <v>2</v>
      </c>
      <c r="Q358" s="1074">
        <f>SUBTOTAL(9,Q352:Q357)</f>
        <v>21380.67</v>
      </c>
      <c r="R358" s="1074"/>
      <c r="S358" s="1074"/>
      <c r="T358" s="1074"/>
      <c r="U358" s="1074"/>
      <c r="V358" s="1074"/>
      <c r="W358" s="1074"/>
      <c r="X358" s="1074"/>
      <c r="Y358" s="1074"/>
      <c r="Z358" s="1074"/>
      <c r="AA358" s="1074"/>
      <c r="AB358" s="1074"/>
      <c r="AC358" s="1074"/>
      <c r="AD358" s="1074"/>
      <c r="AE358" s="1074"/>
      <c r="AF358" s="1074"/>
      <c r="AG358" s="1095">
        <f t="shared" ref="AG358:AM358" si="160">SUBTOTAL(9,AG352:AG357)</f>
        <v>179459.83000000002</v>
      </c>
      <c r="AH358" s="1074">
        <f t="shared" si="160"/>
        <v>64142.01</v>
      </c>
      <c r="AI358" s="1074">
        <f t="shared" si="160"/>
        <v>243601.84</v>
      </c>
      <c r="AJ358" s="1077">
        <f t="shared" si="160"/>
        <v>2.6</v>
      </c>
      <c r="AK358" s="1074">
        <f t="shared" si="160"/>
        <v>254000</v>
      </c>
      <c r="AL358" s="1109">
        <f t="shared" si="160"/>
        <v>5</v>
      </c>
      <c r="AM358" s="1111">
        <f t="shared" si="160"/>
        <v>307854.19620000001</v>
      </c>
      <c r="AP358" s="1080">
        <f>SUBTOTAL(9,AP352:AP357)</f>
        <v>0</v>
      </c>
    </row>
    <row r="359" spans="1:43" outlineLevel="2" x14ac:dyDescent="0.2">
      <c r="A359" s="1075">
        <v>506</v>
      </c>
      <c r="B359" s="1078">
        <v>5387559</v>
      </c>
      <c r="C359" s="1075">
        <v>53875597</v>
      </c>
      <c r="D359" s="1075" t="s">
        <v>2185</v>
      </c>
      <c r="E359" s="1075" t="s">
        <v>2171</v>
      </c>
      <c r="F359" s="1075">
        <v>832400</v>
      </c>
      <c r="G359" s="1075" t="s">
        <v>2107</v>
      </c>
      <c r="H359" s="1075">
        <v>90534</v>
      </c>
      <c r="I359" s="1075">
        <v>0</v>
      </c>
      <c r="J359" s="1075">
        <v>5</v>
      </c>
      <c r="K359" s="1075">
        <v>37</v>
      </c>
      <c r="L359" s="1075">
        <v>0</v>
      </c>
      <c r="N359" s="1075" t="s">
        <v>1072</v>
      </c>
      <c r="O359" s="1077">
        <f>P359/100</f>
        <v>0.5</v>
      </c>
      <c r="P359" s="1075">
        <v>50</v>
      </c>
      <c r="Q359" s="1074">
        <v>4813.37</v>
      </c>
      <c r="R359" s="1074">
        <v>389.1</v>
      </c>
      <c r="S359" s="1074">
        <v>137.57</v>
      </c>
      <c r="T359" s="1074">
        <v>3987.65</v>
      </c>
      <c r="U359" s="1074">
        <v>0</v>
      </c>
      <c r="V359" s="1074">
        <v>0</v>
      </c>
      <c r="W359" s="1074">
        <v>0</v>
      </c>
      <c r="X359" s="1074">
        <v>0</v>
      </c>
      <c r="Y359" s="1074">
        <v>193.75</v>
      </c>
      <c r="Z359" s="1074">
        <v>0</v>
      </c>
      <c r="AA359" s="1074">
        <v>3793.9</v>
      </c>
      <c r="AB359" s="1074">
        <v>299.05</v>
      </c>
      <c r="AC359" s="1074">
        <v>0</v>
      </c>
      <c r="AD359" s="1074">
        <v>0</v>
      </c>
      <c r="AE359" s="1074">
        <v>1832400</v>
      </c>
      <c r="AF359" s="1074" t="s">
        <v>251</v>
      </c>
      <c r="AG359" s="1095">
        <f>VLOOKUP(B359,עזר!A$2:B$329,2,FALSE)</f>
        <v>48302.43</v>
      </c>
      <c r="AH359" s="1074">
        <f>Q359*3</f>
        <v>14440.11</v>
      </c>
      <c r="AI359" s="1074">
        <f>AH359+AG359</f>
        <v>62742.54</v>
      </c>
      <c r="AJ359" s="1077">
        <f>VLOOKUP(B359,Sheet1!D$2:K$430,7,FALSE)</f>
        <v>0.6</v>
      </c>
      <c r="AK359" s="1074">
        <f>VLOOKUP(B359,Sheet1!D$2:L$430,8,FALSE)</f>
        <v>60000</v>
      </c>
      <c r="AL359" s="1109">
        <f>O359</f>
        <v>0.5</v>
      </c>
      <c r="AM359" s="1074">
        <f>AI359*1.02</f>
        <v>63997.390800000001</v>
      </c>
      <c r="AN359" s="1085">
        <f>AL359</f>
        <v>0.5</v>
      </c>
      <c r="AO359" s="1074">
        <f>AM359</f>
        <v>63997.390800000001</v>
      </c>
      <c r="AP359" s="1080"/>
    </row>
    <row r="360" spans="1:43" outlineLevel="1" x14ac:dyDescent="0.2">
      <c r="B360" s="1078"/>
      <c r="F360" s="1088" t="s">
        <v>3129</v>
      </c>
      <c r="O360" s="1077">
        <f>SUBTOTAL(9,O359:O359)</f>
        <v>0.5</v>
      </c>
      <c r="Q360" s="1074">
        <f>SUBTOTAL(9,Q359:Q359)</f>
        <v>4813.37</v>
      </c>
      <c r="R360" s="1074"/>
      <c r="S360" s="1074"/>
      <c r="T360" s="1074"/>
      <c r="U360" s="1074"/>
      <c r="V360" s="1074"/>
      <c r="W360" s="1074"/>
      <c r="X360" s="1074"/>
      <c r="Y360" s="1074"/>
      <c r="Z360" s="1074"/>
      <c r="AA360" s="1074"/>
      <c r="AB360" s="1074"/>
      <c r="AC360" s="1074"/>
      <c r="AD360" s="1074"/>
      <c r="AE360" s="1074"/>
      <c r="AF360" s="1074"/>
      <c r="AG360" s="1095">
        <f t="shared" ref="AG360:AM360" si="161">SUBTOTAL(9,AG359:AG359)</f>
        <v>48302.43</v>
      </c>
      <c r="AH360" s="1074">
        <f t="shared" si="161"/>
        <v>14440.11</v>
      </c>
      <c r="AI360" s="1074">
        <f t="shared" si="161"/>
        <v>62742.54</v>
      </c>
      <c r="AJ360" s="1077">
        <f t="shared" si="161"/>
        <v>0.6</v>
      </c>
      <c r="AK360" s="1074">
        <f t="shared" si="161"/>
        <v>60000</v>
      </c>
      <c r="AL360" s="1109">
        <f t="shared" si="161"/>
        <v>0.5</v>
      </c>
      <c r="AM360" s="1074">
        <f t="shared" si="161"/>
        <v>63997.390800000001</v>
      </c>
      <c r="AP360" s="1080">
        <f>SUBTOTAL(9,AP359:AP359)</f>
        <v>0</v>
      </c>
    </row>
    <row r="361" spans="1:43" outlineLevel="2" x14ac:dyDescent="0.2">
      <c r="A361" s="1075">
        <v>506</v>
      </c>
      <c r="B361" s="1078">
        <v>2618465</v>
      </c>
      <c r="C361" s="1075">
        <v>26184655</v>
      </c>
      <c r="D361" s="1112" t="s">
        <v>2304</v>
      </c>
      <c r="E361" s="1112" t="s">
        <v>2166</v>
      </c>
      <c r="F361" s="1075">
        <v>841000</v>
      </c>
      <c r="G361" s="1075" t="s">
        <v>2107</v>
      </c>
      <c r="H361" s="1075">
        <v>90534</v>
      </c>
      <c r="I361" s="1075">
        <v>0</v>
      </c>
      <c r="J361" s="1075">
        <v>86</v>
      </c>
      <c r="K361" s="1075">
        <v>2</v>
      </c>
      <c r="L361" s="1075">
        <v>2</v>
      </c>
      <c r="M361" s="1075" t="s">
        <v>134</v>
      </c>
      <c r="N361" s="1075" t="s">
        <v>134</v>
      </c>
      <c r="O361" s="1077">
        <f>P361/100</f>
        <v>1</v>
      </c>
      <c r="P361" s="1075">
        <v>100</v>
      </c>
      <c r="Q361" s="1074">
        <v>13707.7</v>
      </c>
      <c r="R361" s="1074">
        <v>2193.9</v>
      </c>
      <c r="S361" s="1074">
        <v>534.99</v>
      </c>
      <c r="T361" s="1074">
        <v>10208.76</v>
      </c>
      <c r="U361" s="1074">
        <v>170</v>
      </c>
      <c r="V361" s="1074">
        <v>0</v>
      </c>
      <c r="W361" s="1074">
        <v>613.15</v>
      </c>
      <c r="X361" s="1074">
        <v>770</v>
      </c>
      <c r="Y361" s="1074">
        <v>121.1</v>
      </c>
      <c r="Z361" s="1074">
        <v>0</v>
      </c>
      <c r="AA361" s="1074">
        <v>8534.51</v>
      </c>
      <c r="AB361" s="1074">
        <v>770.05</v>
      </c>
      <c r="AC361" s="1074">
        <v>0</v>
      </c>
      <c r="AD361" s="1074">
        <v>0</v>
      </c>
      <c r="AE361" s="1074">
        <v>1841000</v>
      </c>
      <c r="AF361" s="1074" t="s">
        <v>251</v>
      </c>
      <c r="AG361" s="1095">
        <f>VLOOKUP(B361,עזר!A$2:B$329,2,FALSE)</f>
        <v>100540.12</v>
      </c>
      <c r="AH361" s="1074">
        <f t="shared" ref="AH361:AH375" si="162">Q361*3</f>
        <v>41123.100000000006</v>
      </c>
      <c r="AI361" s="1074">
        <f t="shared" ref="AI361:AI372" si="163">AH361+AG361</f>
        <v>141663.22</v>
      </c>
      <c r="AJ361" s="1077">
        <v>1</v>
      </c>
      <c r="AK361" s="1074">
        <v>120000</v>
      </c>
      <c r="AL361" s="1109">
        <f>O361</f>
        <v>1</v>
      </c>
      <c r="AM361" s="1074">
        <f>AI361*1.02</f>
        <v>144496.48440000002</v>
      </c>
      <c r="AN361" s="1085">
        <f t="shared" ref="AN361:AN375" si="164">AL361</f>
        <v>1</v>
      </c>
      <c r="AO361" s="1074">
        <f t="shared" ref="AO361:AO375" si="165">AM361</f>
        <v>144496.48440000002</v>
      </c>
      <c r="AP361" s="1080">
        <v>100</v>
      </c>
      <c r="AQ361" s="1075" t="s">
        <v>3257</v>
      </c>
    </row>
    <row r="362" spans="1:43" outlineLevel="2" x14ac:dyDescent="0.2">
      <c r="A362" s="1075">
        <v>506</v>
      </c>
      <c r="B362" s="1078">
        <v>2826156</v>
      </c>
      <c r="C362" s="1075">
        <v>28261568</v>
      </c>
      <c r="D362" s="1075" t="s">
        <v>1390</v>
      </c>
      <c r="E362" s="1075" t="s">
        <v>2237</v>
      </c>
      <c r="F362" s="1075">
        <v>841000</v>
      </c>
      <c r="G362" s="1075" t="s">
        <v>2107</v>
      </c>
      <c r="H362" s="1075">
        <v>90534</v>
      </c>
      <c r="I362" s="1075">
        <v>0</v>
      </c>
      <c r="J362" s="1075">
        <v>86</v>
      </c>
      <c r="K362" s="1075">
        <v>2</v>
      </c>
      <c r="L362" s="1075">
        <v>3</v>
      </c>
      <c r="M362" s="1075" t="s">
        <v>134</v>
      </c>
      <c r="N362" s="1075" t="s">
        <v>134</v>
      </c>
      <c r="O362" s="1077">
        <f>P362/100</f>
        <v>1</v>
      </c>
      <c r="P362" s="1075">
        <v>100</v>
      </c>
      <c r="Q362" s="1074">
        <v>16806.78</v>
      </c>
      <c r="R362" s="1074">
        <v>2507.0500000000002</v>
      </c>
      <c r="S362" s="1074">
        <v>729.41</v>
      </c>
      <c r="T362" s="1074">
        <v>12605.87</v>
      </c>
      <c r="U362" s="1074">
        <v>0</v>
      </c>
      <c r="V362" s="1074">
        <v>0</v>
      </c>
      <c r="W362" s="1074">
        <v>0</v>
      </c>
      <c r="X362" s="1074">
        <v>770</v>
      </c>
      <c r="Y362" s="1074">
        <v>1692.55</v>
      </c>
      <c r="Z362" s="1074">
        <v>0</v>
      </c>
      <c r="AA362" s="1074">
        <v>10143.32</v>
      </c>
      <c r="AB362" s="1074">
        <v>964.45</v>
      </c>
      <c r="AC362" s="1074">
        <v>0</v>
      </c>
      <c r="AD362" s="1074">
        <v>0</v>
      </c>
      <c r="AE362" s="1074">
        <v>1841000</v>
      </c>
      <c r="AF362" s="1074" t="s">
        <v>251</v>
      </c>
      <c r="AG362" s="1095">
        <f>VLOOKUP(B362,עזר!A$2:B$329,2,FALSE)</f>
        <v>128482.65</v>
      </c>
      <c r="AH362" s="1074">
        <f t="shared" si="162"/>
        <v>50420.34</v>
      </c>
      <c r="AI362" s="1074">
        <f t="shared" si="163"/>
        <v>178902.99</v>
      </c>
      <c r="AJ362" s="1077">
        <f>VLOOKUP(B362,Sheet1!D$2:K$430,7,FALSE)</f>
        <v>1</v>
      </c>
      <c r="AK362" s="1074">
        <f>VLOOKUP(B362,Sheet1!D$2:L$430,8,FALSE)</f>
        <v>156000</v>
      </c>
      <c r="AL362" s="1109">
        <f>O362</f>
        <v>1</v>
      </c>
      <c r="AM362" s="1074">
        <f>AI362*1.02</f>
        <v>182481.04980000001</v>
      </c>
      <c r="AN362" s="1085">
        <f t="shared" si="164"/>
        <v>1</v>
      </c>
      <c r="AO362" s="1074">
        <f t="shared" si="165"/>
        <v>182481.04980000001</v>
      </c>
      <c r="AP362" s="1080">
        <v>75</v>
      </c>
    </row>
    <row r="363" spans="1:43" outlineLevel="2" x14ac:dyDescent="0.2">
      <c r="A363" s="1075">
        <v>506</v>
      </c>
      <c r="B363" s="1075">
        <v>3276197</v>
      </c>
      <c r="C363" s="1075">
        <v>32761975</v>
      </c>
      <c r="D363" s="1075" t="s">
        <v>1419</v>
      </c>
      <c r="E363" s="1075" t="s">
        <v>2403</v>
      </c>
      <c r="F363" s="1075">
        <v>841000</v>
      </c>
      <c r="G363" s="1075" t="s">
        <v>2384</v>
      </c>
      <c r="H363" s="1075">
        <v>90534</v>
      </c>
      <c r="I363" s="1075">
        <v>0</v>
      </c>
      <c r="J363" s="1075">
        <v>86</v>
      </c>
      <c r="K363" s="1075">
        <v>2</v>
      </c>
      <c r="L363" s="1075">
        <v>5</v>
      </c>
      <c r="M363" s="1075" t="s">
        <v>134</v>
      </c>
      <c r="N363" s="1075" t="s">
        <v>134</v>
      </c>
      <c r="O363" s="1077">
        <f>748.3/900</f>
        <v>0.83144444444444443</v>
      </c>
      <c r="Q363" s="1074">
        <v>0</v>
      </c>
      <c r="R363" s="1074"/>
      <c r="S363" s="1074"/>
      <c r="T363" s="1074"/>
      <c r="U363" s="1074"/>
      <c r="V363" s="1074"/>
      <c r="W363" s="1074"/>
      <c r="X363" s="1074"/>
      <c r="Y363" s="1074"/>
      <c r="Z363" s="1074"/>
      <c r="AA363" s="1074"/>
      <c r="AB363" s="1074"/>
      <c r="AC363" s="1074"/>
      <c r="AD363" s="1074"/>
      <c r="AE363" s="1074"/>
      <c r="AF363" s="1074"/>
      <c r="AG363" s="1095">
        <f>VLOOKUP(B363,עזר!A$2:B$329,2,FALSE)</f>
        <v>122600.06</v>
      </c>
      <c r="AH363" s="1074">
        <f t="shared" si="162"/>
        <v>0</v>
      </c>
      <c r="AI363" s="1074">
        <f t="shared" si="163"/>
        <v>122600.06</v>
      </c>
      <c r="AJ363" s="1077">
        <v>1</v>
      </c>
      <c r="AK363" s="1074">
        <v>187000</v>
      </c>
      <c r="AL363" s="1109">
        <v>0</v>
      </c>
      <c r="AM363" s="1074">
        <v>0</v>
      </c>
      <c r="AN363" s="1085">
        <f t="shared" si="164"/>
        <v>0</v>
      </c>
      <c r="AO363" s="1074">
        <f t="shared" si="165"/>
        <v>0</v>
      </c>
      <c r="AP363" s="1080"/>
    </row>
    <row r="364" spans="1:43" outlineLevel="2" x14ac:dyDescent="0.2">
      <c r="A364" s="1075">
        <v>506</v>
      </c>
      <c r="B364" s="1078">
        <v>5239197</v>
      </c>
      <c r="C364" s="1075">
        <v>52391976</v>
      </c>
      <c r="D364" s="1075" t="s">
        <v>2305</v>
      </c>
      <c r="E364" s="1075" t="s">
        <v>1776</v>
      </c>
      <c r="F364" s="1075">
        <v>841000</v>
      </c>
      <c r="G364" s="1075" t="s">
        <v>2107</v>
      </c>
      <c r="H364" s="1075">
        <v>90534</v>
      </c>
      <c r="I364" s="1075">
        <v>0</v>
      </c>
      <c r="J364" s="1075">
        <v>86</v>
      </c>
      <c r="K364" s="1075">
        <v>2</v>
      </c>
      <c r="L364" s="1075">
        <v>7</v>
      </c>
      <c r="M364" s="1075" t="s">
        <v>134</v>
      </c>
      <c r="N364" s="1075" t="s">
        <v>134</v>
      </c>
      <c r="O364" s="1077">
        <f t="shared" ref="O364:O369" si="166">P364/100</f>
        <v>0.5</v>
      </c>
      <c r="P364" s="1075">
        <v>50</v>
      </c>
      <c r="Q364" s="1074">
        <v>12319.25</v>
      </c>
      <c r="R364" s="1074">
        <v>2064.0500000000002</v>
      </c>
      <c r="S364" s="1074">
        <v>-1212.8</v>
      </c>
      <c r="T364" s="1074">
        <v>10523.9</v>
      </c>
      <c r="U364" s="1074">
        <v>0</v>
      </c>
      <c r="V364" s="1074">
        <v>0</v>
      </c>
      <c r="W364" s="1074">
        <v>0</v>
      </c>
      <c r="X364" s="1074">
        <v>385</v>
      </c>
      <c r="Y364" s="1074">
        <v>24.3</v>
      </c>
      <c r="Z364" s="1074">
        <v>0</v>
      </c>
      <c r="AA364" s="1074">
        <v>10114.6</v>
      </c>
      <c r="AB364" s="1074">
        <v>944.1</v>
      </c>
      <c r="AC364" s="1074">
        <v>0</v>
      </c>
      <c r="AD364" s="1074">
        <v>0</v>
      </c>
      <c r="AE364" s="1074">
        <v>1841000</v>
      </c>
      <c r="AF364" s="1074" t="s">
        <v>251</v>
      </c>
      <c r="AG364" s="1095">
        <f>VLOOKUP(B364,עזר!A$2:B$329,2,FALSE)</f>
        <v>79481.77</v>
      </c>
      <c r="AH364" s="1074">
        <f t="shared" si="162"/>
        <v>36957.75</v>
      </c>
      <c r="AI364" s="1074">
        <f t="shared" si="163"/>
        <v>116439.52</v>
      </c>
      <c r="AJ364" s="1077">
        <v>0.5</v>
      </c>
      <c r="AK364" s="1074">
        <v>110000</v>
      </c>
      <c r="AL364" s="1109">
        <v>0</v>
      </c>
      <c r="AM364" s="1074">
        <v>0</v>
      </c>
      <c r="AN364" s="1085">
        <f t="shared" si="164"/>
        <v>0</v>
      </c>
      <c r="AO364" s="1074">
        <f t="shared" si="165"/>
        <v>0</v>
      </c>
      <c r="AP364" s="1080"/>
    </row>
    <row r="365" spans="1:43" outlineLevel="2" x14ac:dyDescent="0.2">
      <c r="A365" s="1075">
        <v>506</v>
      </c>
      <c r="B365" s="1078">
        <v>5515873</v>
      </c>
      <c r="C365" s="1075">
        <v>55158737</v>
      </c>
      <c r="D365" s="1075" t="s">
        <v>2306</v>
      </c>
      <c r="E365" s="1075" t="s">
        <v>2307</v>
      </c>
      <c r="F365" s="1075">
        <v>841000</v>
      </c>
      <c r="G365" s="1075" t="s">
        <v>2107</v>
      </c>
      <c r="H365" s="1075">
        <v>90534</v>
      </c>
      <c r="I365" s="1075">
        <v>0</v>
      </c>
      <c r="J365" s="1075">
        <v>86</v>
      </c>
      <c r="K365" s="1075">
        <v>2</v>
      </c>
      <c r="L365" s="1075">
        <v>8</v>
      </c>
      <c r="M365" s="1075" t="s">
        <v>134</v>
      </c>
      <c r="N365" s="1075" t="s">
        <v>134</v>
      </c>
      <c r="O365" s="1077">
        <f t="shared" si="166"/>
        <v>1</v>
      </c>
      <c r="P365" s="1075">
        <v>100</v>
      </c>
      <c r="Q365" s="1074">
        <v>18940.169999999998</v>
      </c>
      <c r="R365" s="1074">
        <v>2705.45</v>
      </c>
      <c r="S365" s="1074">
        <v>863.03</v>
      </c>
      <c r="T365" s="1074">
        <v>14273.59</v>
      </c>
      <c r="U365" s="1074">
        <v>0</v>
      </c>
      <c r="V365" s="1074">
        <v>0</v>
      </c>
      <c r="W365" s="1074">
        <v>0</v>
      </c>
      <c r="X365" s="1074">
        <v>1131.9000000000001</v>
      </c>
      <c r="Y365" s="1074">
        <v>193.9</v>
      </c>
      <c r="Z365" s="1074">
        <v>2434.85</v>
      </c>
      <c r="AA365" s="1074">
        <v>10512.94</v>
      </c>
      <c r="AB365" s="1074">
        <v>1098.0999999999999</v>
      </c>
      <c r="AC365" s="1074">
        <v>0</v>
      </c>
      <c r="AD365" s="1074">
        <v>0</v>
      </c>
      <c r="AE365" s="1074">
        <v>1841000</v>
      </c>
      <c r="AF365" s="1074" t="s">
        <v>251</v>
      </c>
      <c r="AG365" s="1095">
        <f>VLOOKUP(B365,עזר!A$2:B$329,2,FALSE)</f>
        <v>151628.31</v>
      </c>
      <c r="AH365" s="1074">
        <f t="shared" si="162"/>
        <v>56820.509999999995</v>
      </c>
      <c r="AI365" s="1074">
        <f t="shared" si="163"/>
        <v>208448.82</v>
      </c>
      <c r="AJ365" s="1077">
        <f>VLOOKUP(B365,Sheet1!D$2:K$430,7,FALSE)</f>
        <v>1</v>
      </c>
      <c r="AK365" s="1074">
        <f>VLOOKUP(B365,Sheet1!D$2:L$430,8,FALSE)</f>
        <v>184000</v>
      </c>
      <c r="AL365" s="1109">
        <f>O365</f>
        <v>1</v>
      </c>
      <c r="AM365" s="1074">
        <f t="shared" ref="AM365:AM368" si="167">AI365*1.02</f>
        <v>212617.79640000002</v>
      </c>
      <c r="AN365" s="1085">
        <f t="shared" si="164"/>
        <v>1</v>
      </c>
      <c r="AO365" s="1074">
        <f t="shared" si="165"/>
        <v>212617.79640000002</v>
      </c>
      <c r="AP365" s="1080">
        <v>75</v>
      </c>
    </row>
    <row r="366" spans="1:43" outlineLevel="2" x14ac:dyDescent="0.2">
      <c r="A366" s="1075">
        <v>506</v>
      </c>
      <c r="B366" s="1078">
        <v>5755856</v>
      </c>
      <c r="C366" s="1075">
        <v>57558561</v>
      </c>
      <c r="D366" s="1075" t="s">
        <v>2155</v>
      </c>
      <c r="E366" s="1075" t="s">
        <v>2391</v>
      </c>
      <c r="F366" s="1075">
        <v>841000</v>
      </c>
      <c r="G366" s="1075" t="s">
        <v>2107</v>
      </c>
      <c r="H366" s="1075">
        <v>90534</v>
      </c>
      <c r="I366" s="1075">
        <v>0</v>
      </c>
      <c r="J366" s="1075">
        <v>86</v>
      </c>
      <c r="K366" s="1075">
        <v>2</v>
      </c>
      <c r="L366" s="1075">
        <v>3</v>
      </c>
      <c r="M366" s="1075" t="s">
        <v>134</v>
      </c>
      <c r="N366" s="1075" t="s">
        <v>134</v>
      </c>
      <c r="O366" s="1077">
        <f t="shared" si="166"/>
        <v>1</v>
      </c>
      <c r="P366" s="1075">
        <v>100</v>
      </c>
      <c r="Q366" s="1074">
        <v>12909.9</v>
      </c>
      <c r="R366" s="1074">
        <v>2085.5</v>
      </c>
      <c r="S366" s="1074">
        <v>476.39</v>
      </c>
      <c r="T366" s="1074">
        <v>9610.91</v>
      </c>
      <c r="U366" s="1074">
        <v>0</v>
      </c>
      <c r="V366" s="1074">
        <v>0</v>
      </c>
      <c r="W366" s="1074">
        <v>354.65</v>
      </c>
      <c r="X366" s="1074">
        <v>770</v>
      </c>
      <c r="Y366" s="1074">
        <v>165.95</v>
      </c>
      <c r="Z366" s="1074">
        <v>0</v>
      </c>
      <c r="AA366" s="1074">
        <v>8320.31</v>
      </c>
      <c r="AB366" s="1074">
        <v>737.1</v>
      </c>
      <c r="AC366" s="1074">
        <v>0</v>
      </c>
      <c r="AD366" s="1074">
        <v>0</v>
      </c>
      <c r="AE366" s="1074">
        <v>1841000</v>
      </c>
      <c r="AF366" s="1074" t="s">
        <v>251</v>
      </c>
      <c r="AG366" s="1095">
        <f>VLOOKUP(B366,עזר!A$2:B$329,2,FALSE)</f>
        <v>92647.18</v>
      </c>
      <c r="AH366" s="1074">
        <f t="shared" si="162"/>
        <v>38729.699999999997</v>
      </c>
      <c r="AI366" s="1074">
        <f t="shared" si="163"/>
        <v>131376.88</v>
      </c>
      <c r="AJ366" s="1077">
        <v>1</v>
      </c>
      <c r="AK366" s="1074">
        <v>119000</v>
      </c>
      <c r="AL366" s="1109">
        <f>O366</f>
        <v>1</v>
      </c>
      <c r="AM366" s="1074">
        <f t="shared" si="167"/>
        <v>134004.41760000002</v>
      </c>
      <c r="AN366" s="1085">
        <f t="shared" si="164"/>
        <v>1</v>
      </c>
      <c r="AO366" s="1074">
        <f t="shared" si="165"/>
        <v>134004.41760000002</v>
      </c>
      <c r="AP366" s="1080">
        <v>75</v>
      </c>
    </row>
    <row r="367" spans="1:43" outlineLevel="2" x14ac:dyDescent="0.2">
      <c r="A367" s="1075">
        <v>506</v>
      </c>
      <c r="B367" s="1078">
        <v>5996497</v>
      </c>
      <c r="C367" s="1075">
        <v>59964973</v>
      </c>
      <c r="D367" s="1075" t="s">
        <v>2224</v>
      </c>
      <c r="E367" s="1075" t="s">
        <v>2309</v>
      </c>
      <c r="F367" s="1075">
        <v>841000</v>
      </c>
      <c r="G367" s="1075" t="s">
        <v>2107</v>
      </c>
      <c r="H367" s="1075">
        <v>90534</v>
      </c>
      <c r="I367" s="1075">
        <v>0</v>
      </c>
      <c r="J367" s="1075">
        <v>86</v>
      </c>
      <c r="K367" s="1075">
        <v>2</v>
      </c>
      <c r="L367" s="1075">
        <v>2</v>
      </c>
      <c r="M367" s="1075" t="s">
        <v>134</v>
      </c>
      <c r="N367" s="1075" t="s">
        <v>134</v>
      </c>
      <c r="O367" s="1077">
        <f t="shared" si="166"/>
        <v>0.75</v>
      </c>
      <c r="P367" s="1075">
        <v>75</v>
      </c>
      <c r="Q367" s="1074">
        <v>11181.48</v>
      </c>
      <c r="R367" s="1074">
        <v>1056.45</v>
      </c>
      <c r="S367" s="1074">
        <v>453.36</v>
      </c>
      <c r="T367" s="1074">
        <v>8983.27</v>
      </c>
      <c r="U367" s="1074">
        <v>0</v>
      </c>
      <c r="V367" s="1074">
        <v>0</v>
      </c>
      <c r="W367" s="1074">
        <v>0</v>
      </c>
      <c r="X367" s="1074">
        <v>577.5</v>
      </c>
      <c r="Y367" s="1074">
        <v>172</v>
      </c>
      <c r="Z367" s="1074">
        <v>0</v>
      </c>
      <c r="AA367" s="1074">
        <v>8233.77</v>
      </c>
      <c r="AB367" s="1074">
        <v>688.4</v>
      </c>
      <c r="AC367" s="1074">
        <v>0</v>
      </c>
      <c r="AD367" s="1074">
        <v>0</v>
      </c>
      <c r="AE367" s="1074">
        <v>1841000</v>
      </c>
      <c r="AF367" s="1074" t="s">
        <v>251</v>
      </c>
      <c r="AG367" s="1095">
        <f>VLOOKUP(B367,עזר!A$2:B$329,2,FALSE)</f>
        <v>88863.26</v>
      </c>
      <c r="AH367" s="1074">
        <f t="shared" si="162"/>
        <v>33544.44</v>
      </c>
      <c r="AI367" s="1074">
        <f t="shared" si="163"/>
        <v>122407.7</v>
      </c>
      <c r="AJ367" s="1077">
        <f>VLOOKUP(B367,Sheet1!D$2:K$430,7,FALSE)</f>
        <v>0.75</v>
      </c>
      <c r="AK367" s="1074">
        <f>VLOOKUP(B367,Sheet1!D$2:L$430,8,FALSE)</f>
        <v>90000</v>
      </c>
      <c r="AL367" s="1109">
        <v>1</v>
      </c>
      <c r="AM367" s="1074">
        <f>116000/0.75</f>
        <v>154666.66666666666</v>
      </c>
      <c r="AN367" s="1085">
        <f t="shared" si="164"/>
        <v>1</v>
      </c>
      <c r="AO367" s="1074">
        <f t="shared" si="165"/>
        <v>154666.66666666666</v>
      </c>
      <c r="AP367" s="1080" t="s">
        <v>3253</v>
      </c>
    </row>
    <row r="368" spans="1:43" outlineLevel="2" x14ac:dyDescent="0.2">
      <c r="A368" s="1075">
        <v>506</v>
      </c>
      <c r="B368" s="1078">
        <v>6128021</v>
      </c>
      <c r="C368" s="1075">
        <v>61280210</v>
      </c>
      <c r="D368" s="1075" t="s">
        <v>1374</v>
      </c>
      <c r="E368" s="1075" t="s">
        <v>2289</v>
      </c>
      <c r="F368" s="1075">
        <v>841000</v>
      </c>
      <c r="G368" s="1075" t="s">
        <v>2107</v>
      </c>
      <c r="H368" s="1075">
        <v>90534</v>
      </c>
      <c r="I368" s="1075">
        <v>0</v>
      </c>
      <c r="J368" s="1075">
        <v>86</v>
      </c>
      <c r="K368" s="1075">
        <v>3</v>
      </c>
      <c r="L368" s="1075">
        <v>3</v>
      </c>
      <c r="M368" s="1075" t="s">
        <v>134</v>
      </c>
      <c r="N368" s="1075" t="s">
        <v>134</v>
      </c>
      <c r="O368" s="1077">
        <f t="shared" si="166"/>
        <v>1</v>
      </c>
      <c r="P368" s="1075">
        <v>100</v>
      </c>
      <c r="Q368" s="1074">
        <v>15458.45</v>
      </c>
      <c r="R368" s="1074">
        <v>2519.35</v>
      </c>
      <c r="S368" s="1074">
        <v>641.30999999999995</v>
      </c>
      <c r="T368" s="1074">
        <v>11421.44</v>
      </c>
      <c r="U368" s="1074">
        <v>0</v>
      </c>
      <c r="V368" s="1074">
        <v>0</v>
      </c>
      <c r="W368" s="1074">
        <v>0</v>
      </c>
      <c r="X368" s="1074">
        <v>770</v>
      </c>
      <c r="Y368" s="1074">
        <v>120</v>
      </c>
      <c r="Z368" s="1074">
        <v>0</v>
      </c>
      <c r="AA368" s="1074">
        <v>10531.44</v>
      </c>
      <c r="AB368" s="1074">
        <v>876.35</v>
      </c>
      <c r="AC368" s="1074">
        <v>0</v>
      </c>
      <c r="AD368" s="1074">
        <v>0</v>
      </c>
      <c r="AE368" s="1074">
        <v>1841000</v>
      </c>
      <c r="AF368" s="1074" t="s">
        <v>251</v>
      </c>
      <c r="AG368" s="1095">
        <f>VLOOKUP(B368,עזר!A$2:B$329,2,FALSE)</f>
        <v>117138.63</v>
      </c>
      <c r="AH368" s="1074">
        <f t="shared" si="162"/>
        <v>46375.350000000006</v>
      </c>
      <c r="AI368" s="1074">
        <f t="shared" si="163"/>
        <v>163513.98000000001</v>
      </c>
      <c r="AJ368" s="1077">
        <f>VLOOKUP(B368,Sheet1!D$2:K$430,7,FALSE)</f>
        <v>1</v>
      </c>
      <c r="AK368" s="1074">
        <f>VLOOKUP(B368,Sheet1!D$2:L$430,8,FALSE)</f>
        <v>115000</v>
      </c>
      <c r="AL368" s="1109">
        <f>O368</f>
        <v>1</v>
      </c>
      <c r="AM368" s="1074">
        <f t="shared" si="167"/>
        <v>166784.25960000002</v>
      </c>
      <c r="AN368" s="1085">
        <f t="shared" si="164"/>
        <v>1</v>
      </c>
      <c r="AO368" s="1074">
        <f t="shared" si="165"/>
        <v>166784.25960000002</v>
      </c>
      <c r="AP368" s="1080">
        <v>75</v>
      </c>
    </row>
    <row r="369" spans="1:44" outlineLevel="2" x14ac:dyDescent="0.2">
      <c r="A369" s="1075">
        <v>506</v>
      </c>
      <c r="B369" s="1078">
        <v>6606771</v>
      </c>
      <c r="C369" s="1075">
        <v>66067711</v>
      </c>
      <c r="D369" s="1075" t="s">
        <v>2129</v>
      </c>
      <c r="E369" s="1075" t="s">
        <v>2310</v>
      </c>
      <c r="F369" s="1075">
        <v>841000</v>
      </c>
      <c r="G369" s="1075" t="s">
        <v>2107</v>
      </c>
      <c r="H369" s="1075">
        <v>90534</v>
      </c>
      <c r="I369" s="1075">
        <v>0</v>
      </c>
      <c r="J369" s="1075">
        <v>86</v>
      </c>
      <c r="K369" s="1075">
        <v>2</v>
      </c>
      <c r="L369" s="1075">
        <v>4</v>
      </c>
      <c r="M369" s="1075" t="s">
        <v>134</v>
      </c>
      <c r="N369" s="1075" t="s">
        <v>134</v>
      </c>
      <c r="O369" s="1077">
        <f t="shared" si="166"/>
        <v>0.5</v>
      </c>
      <c r="P369" s="1075">
        <v>50</v>
      </c>
      <c r="Q369" s="1074">
        <v>3851.7</v>
      </c>
      <c r="R369" s="1074">
        <v>359.4</v>
      </c>
      <c r="S369" s="1074">
        <v>98.6</v>
      </c>
      <c r="T369" s="1074">
        <v>3131.85</v>
      </c>
      <c r="U369" s="1074">
        <v>155.75</v>
      </c>
      <c r="V369" s="1074">
        <v>0</v>
      </c>
      <c r="W369" s="1074">
        <v>172.25</v>
      </c>
      <c r="X369" s="1074">
        <v>192.5</v>
      </c>
      <c r="Y369" s="1074">
        <v>121.1</v>
      </c>
      <c r="Z369" s="1074">
        <v>0</v>
      </c>
      <c r="AA369" s="1074">
        <v>2490.25</v>
      </c>
      <c r="AB369" s="1074">
        <v>261.85000000000002</v>
      </c>
      <c r="AC369" s="1074">
        <v>0</v>
      </c>
      <c r="AD369" s="1074">
        <v>0</v>
      </c>
      <c r="AE369" s="1074">
        <v>1841000</v>
      </c>
      <c r="AF369" s="1074" t="s">
        <v>251</v>
      </c>
      <c r="AG369" s="1095">
        <f>VLOOKUP(B369,עזר!A$2:B$329,2,FALSE)</f>
        <v>10911.82</v>
      </c>
      <c r="AH369" s="1074">
        <f t="shared" si="162"/>
        <v>11555.099999999999</v>
      </c>
      <c r="AI369" s="1074">
        <f t="shared" si="163"/>
        <v>22466.92</v>
      </c>
      <c r="AJ369" s="1077">
        <v>0</v>
      </c>
      <c r="AK369" s="1074">
        <v>0</v>
      </c>
      <c r="AL369" s="1109">
        <v>0</v>
      </c>
      <c r="AM369" s="1074">
        <v>0</v>
      </c>
      <c r="AN369" s="1085">
        <f t="shared" si="164"/>
        <v>0</v>
      </c>
      <c r="AO369" s="1074">
        <f t="shared" si="165"/>
        <v>0</v>
      </c>
      <c r="AP369" s="1080"/>
    </row>
    <row r="370" spans="1:44" outlineLevel="2" x14ac:dyDescent="0.2">
      <c r="A370" s="1075">
        <v>506</v>
      </c>
      <c r="B370" s="1075">
        <v>30095375</v>
      </c>
      <c r="C370" s="1075">
        <v>300953759</v>
      </c>
      <c r="D370" s="1075" t="s">
        <v>2436</v>
      </c>
      <c r="E370" s="1075" t="s">
        <v>2430</v>
      </c>
      <c r="F370" s="1075">
        <v>841000</v>
      </c>
      <c r="G370" s="1075" t="s">
        <v>2384</v>
      </c>
      <c r="H370" s="1075">
        <v>90534</v>
      </c>
      <c r="I370" s="1075">
        <v>0</v>
      </c>
      <c r="J370" s="1075">
        <v>86</v>
      </c>
      <c r="K370" s="1075">
        <v>3</v>
      </c>
      <c r="L370" s="1075">
        <v>3</v>
      </c>
      <c r="M370" s="1075" t="s">
        <v>134</v>
      </c>
      <c r="N370" s="1075" t="s">
        <v>134</v>
      </c>
      <c r="O370" s="1077">
        <f>609.6/900</f>
        <v>0.67733333333333334</v>
      </c>
      <c r="Q370" s="1074">
        <v>0</v>
      </c>
      <c r="R370" s="1074"/>
      <c r="S370" s="1074"/>
      <c r="T370" s="1074"/>
      <c r="U370" s="1074"/>
      <c r="V370" s="1074"/>
      <c r="W370" s="1074"/>
      <c r="X370" s="1074"/>
      <c r="Y370" s="1074"/>
      <c r="Z370" s="1074"/>
      <c r="AA370" s="1074"/>
      <c r="AB370" s="1074"/>
      <c r="AC370" s="1074"/>
      <c r="AD370" s="1074"/>
      <c r="AE370" s="1074"/>
      <c r="AF370" s="1074"/>
      <c r="AG370" s="1095">
        <f>VLOOKUP(B370,עזר!A$2:B$329,2,FALSE)</f>
        <v>87038.56</v>
      </c>
      <c r="AH370" s="1074">
        <f t="shared" si="162"/>
        <v>0</v>
      </c>
      <c r="AI370" s="1074">
        <f t="shared" si="163"/>
        <v>87038.56</v>
      </c>
      <c r="AJ370" s="1077">
        <f>VLOOKUP(B370,Sheet1!D$2:K$430,7,FALSE)</f>
        <v>1</v>
      </c>
      <c r="AK370" s="1074">
        <f>VLOOKUP(B370,Sheet1!D$2:L$430,8,FALSE)</f>
        <v>154000</v>
      </c>
      <c r="AL370" s="1109">
        <v>0</v>
      </c>
      <c r="AM370" s="1074">
        <v>0</v>
      </c>
      <c r="AN370" s="1085">
        <f t="shared" si="164"/>
        <v>0</v>
      </c>
      <c r="AO370" s="1074">
        <f t="shared" si="165"/>
        <v>0</v>
      </c>
      <c r="AP370" s="1080"/>
    </row>
    <row r="371" spans="1:44" outlineLevel="2" x14ac:dyDescent="0.2">
      <c r="A371" s="1075">
        <v>506</v>
      </c>
      <c r="B371" s="1078">
        <v>30492671</v>
      </c>
      <c r="C371" s="1075">
        <v>304926710</v>
      </c>
      <c r="D371" s="1075" t="s">
        <v>2311</v>
      </c>
      <c r="E371" s="1075" t="s">
        <v>2312</v>
      </c>
      <c r="F371" s="1075">
        <v>841000</v>
      </c>
      <c r="G371" s="1075" t="s">
        <v>2107</v>
      </c>
      <c r="H371" s="1075">
        <v>90534</v>
      </c>
      <c r="I371" s="1075">
        <v>0</v>
      </c>
      <c r="J371" s="1075">
        <v>86</v>
      </c>
      <c r="K371" s="1075">
        <v>2</v>
      </c>
      <c r="L371" s="1075">
        <v>2</v>
      </c>
      <c r="M371" s="1075" t="s">
        <v>134</v>
      </c>
      <c r="N371" s="1075" t="s">
        <v>134</v>
      </c>
      <c r="O371" s="1077">
        <f>P371/100</f>
        <v>0.5</v>
      </c>
      <c r="P371" s="1075">
        <v>50</v>
      </c>
      <c r="Q371" s="1074">
        <v>5709.6</v>
      </c>
      <c r="R371" s="1074">
        <v>886.45</v>
      </c>
      <c r="S371" s="1074">
        <v>152.69999999999999</v>
      </c>
      <c r="T371" s="1074">
        <v>4338.55</v>
      </c>
      <c r="U371" s="1074">
        <v>0</v>
      </c>
      <c r="V371" s="1074">
        <v>0</v>
      </c>
      <c r="W371" s="1074">
        <v>308.75</v>
      </c>
      <c r="X371" s="1074">
        <v>385</v>
      </c>
      <c r="Y371" s="1074">
        <v>99.3</v>
      </c>
      <c r="Z371" s="1074">
        <v>0</v>
      </c>
      <c r="AA371" s="1074">
        <v>3545.5</v>
      </c>
      <c r="AB371" s="1074">
        <v>331.9</v>
      </c>
      <c r="AC371" s="1074">
        <v>0</v>
      </c>
      <c r="AD371" s="1074">
        <v>0</v>
      </c>
      <c r="AE371" s="1074">
        <v>1841000</v>
      </c>
      <c r="AF371" s="1074" t="s">
        <v>251</v>
      </c>
      <c r="AG371" s="1095">
        <f>VLOOKUP(B371,עזר!A$2:B$329,2,FALSE)</f>
        <v>46105.760000000002</v>
      </c>
      <c r="AH371" s="1074">
        <f t="shared" si="162"/>
        <v>17128.800000000003</v>
      </c>
      <c r="AI371" s="1074">
        <f t="shared" si="163"/>
        <v>63234.560000000005</v>
      </c>
      <c r="AJ371" s="1077">
        <v>0.5</v>
      </c>
      <c r="AK371" s="1074">
        <v>80000</v>
      </c>
      <c r="AL371" s="1109">
        <v>1</v>
      </c>
      <c r="AM371" s="1074">
        <f>AI371*1.02/0.5</f>
        <v>128998.50240000001</v>
      </c>
      <c r="AN371" s="1085">
        <f t="shared" si="164"/>
        <v>1</v>
      </c>
      <c r="AO371" s="1074">
        <f t="shared" si="165"/>
        <v>128998.50240000001</v>
      </c>
      <c r="AP371" s="1080">
        <v>75</v>
      </c>
    </row>
    <row r="372" spans="1:44" outlineLevel="2" x14ac:dyDescent="0.2">
      <c r="A372" s="1075">
        <v>506</v>
      </c>
      <c r="B372" s="1078">
        <v>30854360</v>
      </c>
      <c r="C372" s="1075">
        <v>308543602</v>
      </c>
      <c r="D372" s="1075" t="s">
        <v>2313</v>
      </c>
      <c r="E372" s="1075" t="s">
        <v>2314</v>
      </c>
      <c r="F372" s="1075">
        <v>841000</v>
      </c>
      <c r="G372" s="1075" t="s">
        <v>2107</v>
      </c>
      <c r="H372" s="1075">
        <v>90534</v>
      </c>
      <c r="I372" s="1075">
        <v>0</v>
      </c>
      <c r="J372" s="1075">
        <v>86</v>
      </c>
      <c r="K372" s="1075">
        <v>2</v>
      </c>
      <c r="L372" s="1075">
        <v>2</v>
      </c>
      <c r="M372" s="1075" t="s">
        <v>134</v>
      </c>
      <c r="N372" s="1075" t="s">
        <v>134</v>
      </c>
      <c r="O372" s="1077">
        <f>P372/100</f>
        <v>1</v>
      </c>
      <c r="P372" s="1075">
        <v>100</v>
      </c>
      <c r="Q372" s="1074">
        <v>12199.82</v>
      </c>
      <c r="R372" s="1074">
        <v>1727.7</v>
      </c>
      <c r="S372" s="1074">
        <v>453.21</v>
      </c>
      <c r="T372" s="1074">
        <v>9308.31</v>
      </c>
      <c r="U372" s="1074">
        <v>0</v>
      </c>
      <c r="V372" s="1074">
        <v>0</v>
      </c>
      <c r="W372" s="1074">
        <v>296.39999999999998</v>
      </c>
      <c r="X372" s="1074">
        <v>770</v>
      </c>
      <c r="Y372" s="1074">
        <v>1429.6</v>
      </c>
      <c r="Z372" s="1074">
        <v>0</v>
      </c>
      <c r="AA372" s="1074">
        <v>6812.31</v>
      </c>
      <c r="AB372" s="1074">
        <v>710.6</v>
      </c>
      <c r="AC372" s="1074">
        <v>0</v>
      </c>
      <c r="AD372" s="1074">
        <v>0</v>
      </c>
      <c r="AE372" s="1074">
        <v>1841000</v>
      </c>
      <c r="AF372" s="1074" t="s">
        <v>251</v>
      </c>
      <c r="AG372" s="1095">
        <f>VLOOKUP(B372,עזר!A$2:B$329,2,FALSE)</f>
        <v>54972.84</v>
      </c>
      <c r="AH372" s="1074">
        <f t="shared" si="162"/>
        <v>36599.46</v>
      </c>
      <c r="AI372" s="1074">
        <f t="shared" si="163"/>
        <v>91572.299999999988</v>
      </c>
      <c r="AJ372" s="1077">
        <f>VLOOKUP(B372,Sheet1!D$2:K$430,7,FALSE)</f>
        <v>1.5</v>
      </c>
      <c r="AK372" s="1074">
        <f>VLOOKUP(B372,Sheet1!D$2:L$430,8,FALSE)</f>
        <v>60000</v>
      </c>
      <c r="AL372" s="1077">
        <v>1</v>
      </c>
      <c r="AM372" s="1074">
        <f>227500*0.25+68500+109733*0.25</f>
        <v>152808.25</v>
      </c>
      <c r="AN372" s="1085">
        <f t="shared" si="164"/>
        <v>1</v>
      </c>
      <c r="AO372" s="1074">
        <f t="shared" si="165"/>
        <v>152808.25</v>
      </c>
      <c r="AP372" s="1080">
        <v>75</v>
      </c>
    </row>
    <row r="373" spans="1:44" outlineLevel="2" x14ac:dyDescent="0.2">
      <c r="A373" s="1075">
        <v>506</v>
      </c>
      <c r="B373" s="1078">
        <v>0</v>
      </c>
      <c r="C373" s="1075">
        <v>31237237</v>
      </c>
      <c r="D373" s="1075" t="s">
        <v>3203</v>
      </c>
      <c r="E373" s="1075" t="s">
        <v>3204</v>
      </c>
      <c r="F373" s="1075">
        <v>841000</v>
      </c>
      <c r="M373" s="1075" t="s">
        <v>134</v>
      </c>
      <c r="N373" s="1075" t="s">
        <v>134</v>
      </c>
      <c r="O373" s="1077">
        <v>0</v>
      </c>
      <c r="Q373" s="1085">
        <v>0</v>
      </c>
      <c r="R373" s="1085"/>
      <c r="S373" s="1085"/>
      <c r="T373" s="1085"/>
      <c r="U373" s="1085"/>
      <c r="V373" s="1085"/>
      <c r="W373" s="1085"/>
      <c r="X373" s="1085"/>
      <c r="Y373" s="1085"/>
      <c r="Z373" s="1085"/>
      <c r="AA373" s="1085"/>
      <c r="AB373" s="1085"/>
      <c r="AC373" s="1085"/>
      <c r="AD373" s="1085"/>
      <c r="AE373" s="1085"/>
      <c r="AF373" s="1085"/>
      <c r="AG373" s="1096">
        <v>0</v>
      </c>
      <c r="AH373" s="1085">
        <f t="shared" si="162"/>
        <v>0</v>
      </c>
      <c r="AI373" s="1085">
        <v>0</v>
      </c>
      <c r="AJ373" s="1077">
        <v>0.33</v>
      </c>
      <c r="AK373" s="1074">
        <v>39600</v>
      </c>
      <c r="AL373" s="1109">
        <v>1</v>
      </c>
      <c r="AM373" s="1074">
        <v>120000</v>
      </c>
      <c r="AN373" s="1085">
        <f t="shared" si="164"/>
        <v>1</v>
      </c>
      <c r="AO373" s="1074">
        <f t="shared" si="165"/>
        <v>120000</v>
      </c>
      <c r="AP373" s="1080" t="s">
        <v>3261</v>
      </c>
    </row>
    <row r="374" spans="1:44" outlineLevel="2" x14ac:dyDescent="0.2">
      <c r="A374" s="1075">
        <v>506</v>
      </c>
      <c r="B374" s="1078">
        <v>0</v>
      </c>
      <c r="C374" s="1075">
        <v>0</v>
      </c>
      <c r="D374" s="1075" t="s">
        <v>3202</v>
      </c>
      <c r="E374" s="1075" t="s">
        <v>2248</v>
      </c>
      <c r="F374" s="1075">
        <v>841000</v>
      </c>
      <c r="M374" s="1075" t="s">
        <v>134</v>
      </c>
      <c r="N374" s="1075" t="s">
        <v>134</v>
      </c>
      <c r="O374" s="1077">
        <v>0</v>
      </c>
      <c r="Q374" s="1085">
        <v>0</v>
      </c>
      <c r="R374" s="1085"/>
      <c r="S374" s="1085"/>
      <c r="T374" s="1085"/>
      <c r="U374" s="1085"/>
      <c r="V374" s="1085"/>
      <c r="W374" s="1085"/>
      <c r="X374" s="1085"/>
      <c r="Y374" s="1085"/>
      <c r="Z374" s="1085"/>
      <c r="AA374" s="1085"/>
      <c r="AB374" s="1085"/>
      <c r="AC374" s="1085"/>
      <c r="AD374" s="1085"/>
      <c r="AE374" s="1085"/>
      <c r="AF374" s="1085"/>
      <c r="AG374" s="1096">
        <v>0</v>
      </c>
      <c r="AH374" s="1085">
        <f t="shared" si="162"/>
        <v>0</v>
      </c>
      <c r="AI374" s="1085">
        <v>0</v>
      </c>
      <c r="AJ374" s="1077">
        <v>2.58</v>
      </c>
      <c r="AK374" s="1074">
        <v>323933</v>
      </c>
      <c r="AL374" s="1109">
        <v>0.5</v>
      </c>
      <c r="AM374" s="1074">
        <v>60000</v>
      </c>
      <c r="AN374" s="1085">
        <f t="shared" si="164"/>
        <v>0.5</v>
      </c>
      <c r="AO374" s="1074">
        <f t="shared" si="165"/>
        <v>60000</v>
      </c>
      <c r="AP374" s="1080">
        <v>75</v>
      </c>
    </row>
    <row r="375" spans="1:44" outlineLevel="2" x14ac:dyDescent="0.2">
      <c r="A375" s="1075">
        <v>506</v>
      </c>
      <c r="B375" s="1078">
        <v>0</v>
      </c>
      <c r="C375" s="1075">
        <v>0</v>
      </c>
      <c r="D375" s="1075" t="s">
        <v>2776</v>
      </c>
      <c r="E375" s="1075" t="s">
        <v>2777</v>
      </c>
      <c r="F375" s="1075">
        <v>841000</v>
      </c>
      <c r="M375" s="1075" t="s">
        <v>134</v>
      </c>
      <c r="N375" s="1075" t="s">
        <v>134</v>
      </c>
      <c r="O375" s="1077">
        <v>0</v>
      </c>
      <c r="Q375" s="1085">
        <v>0</v>
      </c>
      <c r="R375" s="1085"/>
      <c r="S375" s="1085"/>
      <c r="T375" s="1085"/>
      <c r="U375" s="1085"/>
      <c r="V375" s="1085"/>
      <c r="W375" s="1085"/>
      <c r="X375" s="1085"/>
      <c r="Y375" s="1085"/>
      <c r="Z375" s="1085"/>
      <c r="AA375" s="1085"/>
      <c r="AB375" s="1085"/>
      <c r="AC375" s="1085"/>
      <c r="AD375" s="1085"/>
      <c r="AE375" s="1085"/>
      <c r="AF375" s="1085"/>
      <c r="AG375" s="1096">
        <v>0</v>
      </c>
      <c r="AH375" s="1085">
        <f t="shared" si="162"/>
        <v>0</v>
      </c>
      <c r="AI375" s="1085">
        <v>0</v>
      </c>
      <c r="AJ375" s="1077">
        <v>2</v>
      </c>
      <c r="AK375" s="1074">
        <v>250000</v>
      </c>
      <c r="AL375" s="1109">
        <f>O375</f>
        <v>0</v>
      </c>
      <c r="AM375" s="1074">
        <f>AI375*1.02</f>
        <v>0</v>
      </c>
      <c r="AN375" s="1085">
        <f t="shared" si="164"/>
        <v>0</v>
      </c>
      <c r="AO375" s="1074">
        <f t="shared" si="165"/>
        <v>0</v>
      </c>
      <c r="AP375" s="1080"/>
    </row>
    <row r="376" spans="1:44" outlineLevel="2" x14ac:dyDescent="0.2">
      <c r="A376" s="1075">
        <v>506</v>
      </c>
      <c r="B376" s="1078">
        <v>20153184</v>
      </c>
      <c r="C376" s="1075">
        <v>201531845</v>
      </c>
      <c r="D376" s="1075" t="s">
        <v>2283</v>
      </c>
      <c r="E376" s="1075" t="s">
        <v>2319</v>
      </c>
      <c r="F376" s="1075">
        <v>841000</v>
      </c>
      <c r="G376" s="1075" t="s">
        <v>2107</v>
      </c>
      <c r="H376" s="1075">
        <v>90534</v>
      </c>
      <c r="I376" s="1075">
        <v>1</v>
      </c>
      <c r="J376" s="1075">
        <v>0</v>
      </c>
      <c r="K376" s="1075">
        <v>0</v>
      </c>
      <c r="L376" s="1075">
        <v>0</v>
      </c>
      <c r="M376" s="1075" t="s">
        <v>134</v>
      </c>
      <c r="N376" s="1075" t="s">
        <v>3185</v>
      </c>
      <c r="O376" s="1077">
        <f>P376/100</f>
        <v>0</v>
      </c>
      <c r="P376" s="1075">
        <v>0</v>
      </c>
      <c r="Q376" s="1074">
        <v>2494.19</v>
      </c>
      <c r="R376" s="1074">
        <v>232.2</v>
      </c>
      <c r="S376" s="1074">
        <v>70.34</v>
      </c>
      <c r="T376" s="1074">
        <v>2038.75</v>
      </c>
      <c r="U376" s="1074">
        <v>0</v>
      </c>
      <c r="V376" s="1074">
        <v>0</v>
      </c>
      <c r="W376" s="1074">
        <v>0</v>
      </c>
      <c r="X376" s="1074">
        <v>0</v>
      </c>
      <c r="Y376" s="1074">
        <v>318.45</v>
      </c>
      <c r="Z376" s="1074">
        <v>0</v>
      </c>
      <c r="AA376" s="1074">
        <v>1720.3</v>
      </c>
      <c r="AB376" s="1074">
        <v>152.9</v>
      </c>
      <c r="AC376" s="1074">
        <v>0</v>
      </c>
      <c r="AD376" s="1074">
        <v>0</v>
      </c>
      <c r="AE376" s="1074">
        <v>1841001</v>
      </c>
      <c r="AF376" s="1074" t="s">
        <v>251</v>
      </c>
      <c r="AG376" s="1095">
        <f>VLOOKUP(B376,עזר!A$2:B$329,2,FALSE)</f>
        <v>4657.6899999999996</v>
      </c>
      <c r="AH376" s="1074">
        <f>Q376*3</f>
        <v>7482.57</v>
      </c>
      <c r="AI376" s="1074">
        <f>AH376+AG376</f>
        <v>12140.259999999998</v>
      </c>
      <c r="AJ376" s="1077">
        <v>0</v>
      </c>
      <c r="AK376" s="1074">
        <v>0</v>
      </c>
      <c r="AL376" s="1077">
        <v>0.39</v>
      </c>
      <c r="AM376" s="1074">
        <f>41500*0.39</f>
        <v>16185</v>
      </c>
      <c r="AN376" s="1085">
        <f t="shared" ref="AN376:AO379" si="168">AL376</f>
        <v>0.39</v>
      </c>
      <c r="AO376" s="1074">
        <f t="shared" si="168"/>
        <v>16185</v>
      </c>
      <c r="AP376" s="1080"/>
    </row>
    <row r="377" spans="1:44" outlineLevel="2" x14ac:dyDescent="0.2">
      <c r="A377" s="1075">
        <v>506</v>
      </c>
      <c r="B377" s="1078"/>
      <c r="D377" s="1075" t="s">
        <v>1018</v>
      </c>
      <c r="E377" s="1075" t="s">
        <v>3255</v>
      </c>
      <c r="F377" s="1075">
        <v>841000</v>
      </c>
      <c r="M377" s="1075" t="s">
        <v>134</v>
      </c>
      <c r="N377" s="1075" t="s">
        <v>3254</v>
      </c>
      <c r="Q377" s="1074"/>
      <c r="R377" s="1074"/>
      <c r="S377" s="1074"/>
      <c r="T377" s="1074"/>
      <c r="U377" s="1074"/>
      <c r="V377" s="1074"/>
      <c r="W377" s="1074"/>
      <c r="X377" s="1074"/>
      <c r="Y377" s="1074"/>
      <c r="Z377" s="1074"/>
      <c r="AA377" s="1074"/>
      <c r="AB377" s="1074"/>
      <c r="AC377" s="1074"/>
      <c r="AD377" s="1074"/>
      <c r="AE377" s="1074"/>
      <c r="AF377" s="1074"/>
      <c r="AG377" s="1095"/>
      <c r="AH377" s="1074"/>
      <c r="AI377" s="1074"/>
      <c r="AK377" s="1074"/>
      <c r="AL377" s="1077">
        <v>0.5</v>
      </c>
      <c r="AM377" s="1074">
        <v>60000</v>
      </c>
      <c r="AN377" s="1085">
        <f t="shared" si="168"/>
        <v>0.5</v>
      </c>
      <c r="AO377" s="1074">
        <f t="shared" si="168"/>
        <v>60000</v>
      </c>
      <c r="AP377" s="1080"/>
    </row>
    <row r="378" spans="1:44" outlineLevel="2" x14ac:dyDescent="0.2">
      <c r="A378" s="1075">
        <v>506</v>
      </c>
      <c r="B378" s="1078">
        <v>307980334</v>
      </c>
      <c r="C378" s="1078">
        <v>307980334</v>
      </c>
      <c r="D378" s="1075" t="s">
        <v>3264</v>
      </c>
      <c r="E378" s="1075" t="s">
        <v>2161</v>
      </c>
      <c r="F378" s="1075">
        <v>841000</v>
      </c>
      <c r="M378" s="1075" t="s">
        <v>134</v>
      </c>
      <c r="N378" s="1075" t="s">
        <v>1671</v>
      </c>
      <c r="Q378" s="1074"/>
      <c r="R378" s="1074"/>
      <c r="S378" s="1074"/>
      <c r="T378" s="1074"/>
      <c r="U378" s="1074"/>
      <c r="V378" s="1074"/>
      <c r="W378" s="1074"/>
      <c r="X378" s="1074"/>
      <c r="Y378" s="1074"/>
      <c r="Z378" s="1074"/>
      <c r="AA378" s="1074"/>
      <c r="AB378" s="1074"/>
      <c r="AC378" s="1074"/>
      <c r="AD378" s="1074"/>
      <c r="AE378" s="1074"/>
      <c r="AF378" s="1074"/>
      <c r="AG378" s="1095"/>
      <c r="AH378" s="1074"/>
      <c r="AI378" s="1074"/>
      <c r="AK378" s="1074"/>
      <c r="AL378" s="1077">
        <v>0.75</v>
      </c>
      <c r="AM378" s="1074">
        <v>80000</v>
      </c>
      <c r="AN378" s="1085">
        <f t="shared" si="168"/>
        <v>0.75</v>
      </c>
      <c r="AO378" s="1074">
        <f t="shared" si="168"/>
        <v>80000</v>
      </c>
      <c r="AP378" s="1080">
        <v>75</v>
      </c>
    </row>
    <row r="379" spans="1:44" outlineLevel="2" x14ac:dyDescent="0.2">
      <c r="A379" s="1075">
        <v>506</v>
      </c>
      <c r="B379" s="1078">
        <v>66040445</v>
      </c>
      <c r="C379" s="1078">
        <v>66040445</v>
      </c>
      <c r="D379" s="1075" t="s">
        <v>2106</v>
      </c>
      <c r="E379" s="1075" t="s">
        <v>3259</v>
      </c>
      <c r="F379" s="1075">
        <v>841000</v>
      </c>
      <c r="M379" s="1075" t="s">
        <v>134</v>
      </c>
      <c r="N379" s="1075" t="s">
        <v>3260</v>
      </c>
      <c r="Q379" s="1074"/>
      <c r="R379" s="1074"/>
      <c r="S379" s="1074"/>
      <c r="T379" s="1074"/>
      <c r="U379" s="1074"/>
      <c r="V379" s="1074"/>
      <c r="W379" s="1074"/>
      <c r="X379" s="1074"/>
      <c r="Y379" s="1074"/>
      <c r="Z379" s="1074"/>
      <c r="AA379" s="1074"/>
      <c r="AB379" s="1074"/>
      <c r="AC379" s="1074"/>
      <c r="AD379" s="1074"/>
      <c r="AE379" s="1074"/>
      <c r="AF379" s="1074"/>
      <c r="AG379" s="1095"/>
      <c r="AH379" s="1074"/>
      <c r="AI379" s="1074"/>
      <c r="AK379" s="1074"/>
      <c r="AL379" s="1077">
        <v>0.5</v>
      </c>
      <c r="AM379" s="1074">
        <v>60000</v>
      </c>
      <c r="AN379" s="1085">
        <f t="shared" si="168"/>
        <v>0.5</v>
      </c>
      <c r="AO379" s="1074">
        <f t="shared" si="168"/>
        <v>60000</v>
      </c>
      <c r="AP379" s="1080" t="s">
        <v>3261</v>
      </c>
    </row>
    <row r="380" spans="1:44" outlineLevel="1" x14ac:dyDescent="0.2">
      <c r="B380" s="1078"/>
      <c r="F380" s="1088" t="s">
        <v>3130</v>
      </c>
      <c r="O380" s="1077">
        <f>SUBTOTAL(9,O361:O376)</f>
        <v>9.7587777777777767</v>
      </c>
      <c r="Q380" s="1074">
        <f>SUBTOTAL(9,Q361:Q376)</f>
        <v>125579.03999999998</v>
      </c>
      <c r="R380" s="1074"/>
      <c r="S380" s="1074"/>
      <c r="T380" s="1074"/>
      <c r="U380" s="1074"/>
      <c r="V380" s="1074"/>
      <c r="W380" s="1074"/>
      <c r="X380" s="1074"/>
      <c r="Y380" s="1074"/>
      <c r="Z380" s="1074"/>
      <c r="AA380" s="1074"/>
      <c r="AB380" s="1074"/>
      <c r="AC380" s="1074"/>
      <c r="AD380" s="1074"/>
      <c r="AE380" s="1074"/>
      <c r="AF380" s="1074"/>
      <c r="AG380" s="1095">
        <f t="shared" ref="AG380:AK380" si="169">SUBTOTAL(9,AG361:AG376)</f>
        <v>1085068.6499999999</v>
      </c>
      <c r="AH380" s="1074">
        <f t="shared" si="169"/>
        <v>376737.12000000005</v>
      </c>
      <c r="AI380" s="1074">
        <f t="shared" si="169"/>
        <v>1461805.77</v>
      </c>
      <c r="AJ380" s="1077">
        <f t="shared" si="169"/>
        <v>15.16</v>
      </c>
      <c r="AK380" s="1074">
        <f t="shared" si="169"/>
        <v>1988533</v>
      </c>
      <c r="AL380" s="1109">
        <f>SUBTOTAL(9,AL361:AL379)</f>
        <v>11.64</v>
      </c>
      <c r="AM380" s="1074">
        <f>SUBTOTAL(9,AM361:AM379)</f>
        <v>1673042.4268666666</v>
      </c>
      <c r="AP380" s="1080"/>
    </row>
    <row r="381" spans="1:44" outlineLevel="2" x14ac:dyDescent="0.2">
      <c r="A381" s="1075">
        <v>506</v>
      </c>
      <c r="B381" s="1078">
        <v>3429196</v>
      </c>
      <c r="C381" s="1075">
        <v>34291963</v>
      </c>
      <c r="D381" s="1075" t="s">
        <v>2315</v>
      </c>
      <c r="E381" s="1075" t="s">
        <v>2316</v>
      </c>
      <c r="F381" s="1075">
        <v>841001</v>
      </c>
      <c r="G381" s="1075" t="s">
        <v>2107</v>
      </c>
      <c r="H381" s="1075">
        <v>90534</v>
      </c>
      <c r="I381" s="1075">
        <v>0</v>
      </c>
      <c r="J381" s="1075">
        <v>5</v>
      </c>
      <c r="K381" s="1075">
        <v>9</v>
      </c>
      <c r="L381" s="1075">
        <v>0</v>
      </c>
      <c r="M381" s="1075" t="s">
        <v>134</v>
      </c>
      <c r="N381" s="1075" t="s">
        <v>3185</v>
      </c>
      <c r="O381" s="1077">
        <f>P381/100</f>
        <v>0.8</v>
      </c>
      <c r="P381" s="1075">
        <v>80</v>
      </c>
      <c r="Q381" s="1074">
        <v>7418.74</v>
      </c>
      <c r="R381" s="1074">
        <v>1205.5</v>
      </c>
      <c r="S381" s="1074">
        <v>190.56</v>
      </c>
      <c r="T381" s="1074">
        <v>5608.43</v>
      </c>
      <c r="U381" s="1074">
        <v>334.6</v>
      </c>
      <c r="V381" s="1074">
        <v>0</v>
      </c>
      <c r="W381" s="1074">
        <v>0</v>
      </c>
      <c r="X381" s="1074">
        <v>0</v>
      </c>
      <c r="Y381" s="1074">
        <v>203.7</v>
      </c>
      <c r="Z381" s="1074">
        <v>0</v>
      </c>
      <c r="AA381" s="1074">
        <v>5070.13</v>
      </c>
      <c r="AB381" s="1074">
        <v>414.25</v>
      </c>
      <c r="AC381" s="1074">
        <v>0</v>
      </c>
      <c r="AD381" s="1074">
        <v>0</v>
      </c>
      <c r="AE381" s="1074">
        <v>1841001</v>
      </c>
      <c r="AF381" s="1074" t="s">
        <v>251</v>
      </c>
      <c r="AG381" s="1095">
        <f>VLOOKUP(B381,עזר!A$2:B$329,2,FALSE)</f>
        <v>85189.43</v>
      </c>
      <c r="AH381" s="1074">
        <f>Q381*3</f>
        <v>22256.22</v>
      </c>
      <c r="AI381" s="1074">
        <f>AH381+AG381</f>
        <v>107445.65</v>
      </c>
      <c r="AJ381" s="1077">
        <f>VLOOKUP(B381,Sheet1!D$2:K$430,7,FALSE)</f>
        <v>0.8</v>
      </c>
      <c r="AK381" s="1074">
        <f>VLOOKUP(B381,Sheet1!D$2:L$430,8,FALSE)</f>
        <v>86000</v>
      </c>
      <c r="AL381" s="1109">
        <f>O381</f>
        <v>0.8</v>
      </c>
      <c r="AM381" s="1074">
        <f>AI381*1.02</f>
        <v>109594.56299999999</v>
      </c>
      <c r="AN381" s="1085">
        <f t="shared" ref="AN381:AO384" si="170">AL381</f>
        <v>0.8</v>
      </c>
      <c r="AO381" s="1074">
        <f t="shared" si="170"/>
        <v>109594.56299999999</v>
      </c>
      <c r="AP381" s="1080">
        <v>100</v>
      </c>
    </row>
    <row r="382" spans="1:44" outlineLevel="2" x14ac:dyDescent="0.2">
      <c r="A382" s="1075">
        <v>506</v>
      </c>
      <c r="B382" s="1078">
        <v>5440403</v>
      </c>
      <c r="C382" s="1075">
        <v>54404033</v>
      </c>
      <c r="D382" s="1075" t="s">
        <v>1459</v>
      </c>
      <c r="E382" s="1075" t="s">
        <v>2302</v>
      </c>
      <c r="F382" s="1075">
        <v>841001</v>
      </c>
      <c r="G382" s="1075" t="s">
        <v>2107</v>
      </c>
      <c r="H382" s="1075">
        <v>90534</v>
      </c>
      <c r="I382" s="1075">
        <v>0</v>
      </c>
      <c r="J382" s="1075">
        <v>5</v>
      </c>
      <c r="K382" s="1075">
        <v>37</v>
      </c>
      <c r="L382" s="1075">
        <v>0</v>
      </c>
      <c r="M382" s="1075" t="s">
        <v>134</v>
      </c>
      <c r="N382" s="1075" t="s">
        <v>3185</v>
      </c>
      <c r="O382" s="1077">
        <f>P382/100</f>
        <v>1</v>
      </c>
      <c r="P382" s="1075">
        <v>100</v>
      </c>
      <c r="Q382" s="1074">
        <v>12545.98</v>
      </c>
      <c r="R382" s="1074">
        <v>656.7</v>
      </c>
      <c r="S382" s="1074">
        <v>555.66</v>
      </c>
      <c r="T382" s="1074">
        <v>10542.92</v>
      </c>
      <c r="U382" s="1074">
        <v>0</v>
      </c>
      <c r="V382" s="1074">
        <v>0</v>
      </c>
      <c r="W382" s="1074">
        <v>0</v>
      </c>
      <c r="X382" s="1074">
        <v>0</v>
      </c>
      <c r="Y382" s="1074">
        <v>174.45</v>
      </c>
      <c r="Z382" s="1074">
        <v>0</v>
      </c>
      <c r="AA382" s="1074">
        <v>10368.469999999999</v>
      </c>
      <c r="AB382" s="1074">
        <v>790.7</v>
      </c>
      <c r="AC382" s="1074">
        <v>0</v>
      </c>
      <c r="AD382" s="1074">
        <v>0</v>
      </c>
      <c r="AE382" s="1074">
        <v>1841001</v>
      </c>
      <c r="AF382" s="1074" t="s">
        <v>251</v>
      </c>
      <c r="AG382" s="1095">
        <f>VLOOKUP(B382,עזר!A$2:B$329,2,FALSE)</f>
        <v>87107.33</v>
      </c>
      <c r="AH382" s="1074">
        <f>Q382*3</f>
        <v>37637.94</v>
      </c>
      <c r="AI382" s="1074">
        <f>AH382+AG382</f>
        <v>124745.27</v>
      </c>
      <c r="AJ382" s="1077">
        <f>VLOOKUP(B382,Sheet1!D$2:K$430,7,FALSE)</f>
        <v>1</v>
      </c>
      <c r="AK382" s="1074">
        <f>VLOOKUP(B382,Sheet1!D$2:L$430,8,FALSE)</f>
        <v>98000</v>
      </c>
      <c r="AL382" s="1109">
        <f>O382</f>
        <v>1</v>
      </c>
      <c r="AM382" s="1074">
        <f>AI382*1.02</f>
        <v>127240.17540000001</v>
      </c>
      <c r="AN382" s="1085">
        <f t="shared" si="170"/>
        <v>1</v>
      </c>
      <c r="AO382" s="1074">
        <f t="shared" si="170"/>
        <v>127240.17540000001</v>
      </c>
      <c r="AP382" s="1080" t="s">
        <v>3258</v>
      </c>
    </row>
    <row r="383" spans="1:44" outlineLevel="2" x14ac:dyDescent="0.2">
      <c r="A383" s="1075">
        <v>506</v>
      </c>
      <c r="B383" s="1078">
        <v>5817510</v>
      </c>
      <c r="C383" s="1075">
        <v>58175100</v>
      </c>
      <c r="D383" s="1075" t="s">
        <v>2143</v>
      </c>
      <c r="E383" s="1075" t="s">
        <v>2317</v>
      </c>
      <c r="F383" s="1075">
        <v>841001</v>
      </c>
      <c r="G383" s="1075" t="s">
        <v>2107</v>
      </c>
      <c r="H383" s="1075">
        <v>90534</v>
      </c>
      <c r="I383" s="1075">
        <v>0</v>
      </c>
      <c r="J383" s="1075">
        <v>72</v>
      </c>
      <c r="K383" s="1075">
        <v>69</v>
      </c>
      <c r="L383" s="1075">
        <v>0</v>
      </c>
      <c r="M383" s="1075" t="s">
        <v>134</v>
      </c>
      <c r="N383" s="1075" t="s">
        <v>3185</v>
      </c>
      <c r="O383" s="1077">
        <f>P383/100</f>
        <v>1</v>
      </c>
      <c r="P383" s="1075">
        <v>100</v>
      </c>
      <c r="Q383" s="1074">
        <v>15623.05</v>
      </c>
      <c r="R383" s="1074">
        <v>848.6</v>
      </c>
      <c r="S383" s="1074">
        <v>743.82</v>
      </c>
      <c r="T383" s="1074">
        <v>13051.73</v>
      </c>
      <c r="U383" s="1074">
        <v>0</v>
      </c>
      <c r="V383" s="1074">
        <v>0</v>
      </c>
      <c r="W383" s="1074">
        <v>187.6</v>
      </c>
      <c r="X383" s="1074">
        <v>350</v>
      </c>
      <c r="Y383" s="1074">
        <v>155.1</v>
      </c>
      <c r="Z383" s="1074">
        <v>0</v>
      </c>
      <c r="AA383" s="1074">
        <v>12359.03</v>
      </c>
      <c r="AB383" s="1074">
        <v>978.9</v>
      </c>
      <c r="AC383" s="1074">
        <v>0</v>
      </c>
      <c r="AD383" s="1074">
        <v>0</v>
      </c>
      <c r="AE383" s="1074">
        <v>1841001</v>
      </c>
      <c r="AF383" s="1074" t="s">
        <v>251</v>
      </c>
      <c r="AG383" s="1095">
        <f>VLOOKUP(B383,עזר!A$2:B$329,2,FALSE)</f>
        <v>108732.91</v>
      </c>
      <c r="AH383" s="1074">
        <f>Q383*3</f>
        <v>46869.149999999994</v>
      </c>
      <c r="AI383" s="1074">
        <f>AH383+AG383</f>
        <v>155602.06</v>
      </c>
      <c r="AJ383" s="1077">
        <f>VLOOKUP(B383,Sheet1!D$2:K$430,7,FALSE)</f>
        <v>1</v>
      </c>
      <c r="AK383" s="1074">
        <f>VLOOKUP(B383,Sheet1!D$2:L$430,8,FALSE)</f>
        <v>130000</v>
      </c>
      <c r="AL383" s="1109">
        <f>O383</f>
        <v>1</v>
      </c>
      <c r="AM383" s="1074">
        <f>AI383*1.02</f>
        <v>158714.1012</v>
      </c>
      <c r="AN383" s="1085">
        <f t="shared" si="170"/>
        <v>1</v>
      </c>
      <c r="AO383" s="1074">
        <f t="shared" si="170"/>
        <v>158714.1012</v>
      </c>
      <c r="AP383" s="1080">
        <v>90</v>
      </c>
    </row>
    <row r="384" spans="1:44" outlineLevel="2" x14ac:dyDescent="0.2">
      <c r="A384" s="1075">
        <v>506</v>
      </c>
      <c r="B384" s="1078">
        <v>5934908</v>
      </c>
      <c r="C384" s="1075">
        <v>59349084</v>
      </c>
      <c r="D384" s="1075" t="s">
        <v>1329</v>
      </c>
      <c r="E384" s="1075" t="s">
        <v>2318</v>
      </c>
      <c r="F384" s="1075">
        <v>841001</v>
      </c>
      <c r="G384" s="1075" t="s">
        <v>2107</v>
      </c>
      <c r="H384" s="1075">
        <v>90534</v>
      </c>
      <c r="I384" s="1075">
        <v>0</v>
      </c>
      <c r="J384" s="1075">
        <v>5</v>
      </c>
      <c r="K384" s="1075">
        <v>37</v>
      </c>
      <c r="L384" s="1075">
        <v>0</v>
      </c>
      <c r="M384" s="1075" t="s">
        <v>134</v>
      </c>
      <c r="N384" s="1075" t="s">
        <v>3185</v>
      </c>
      <c r="O384" s="1077">
        <f>P384/100</f>
        <v>0.83</v>
      </c>
      <c r="P384" s="1075">
        <v>83</v>
      </c>
      <c r="Q384" s="1074">
        <v>6324.93</v>
      </c>
      <c r="R384" s="1074">
        <v>514.45000000000005</v>
      </c>
      <c r="S384" s="1074">
        <v>180.68</v>
      </c>
      <c r="T384" s="1074">
        <v>5237</v>
      </c>
      <c r="U384" s="1074">
        <v>0</v>
      </c>
      <c r="V384" s="1074">
        <v>0</v>
      </c>
      <c r="W384" s="1074">
        <v>0</v>
      </c>
      <c r="X384" s="1074">
        <v>0</v>
      </c>
      <c r="Y384" s="1074">
        <v>185.6</v>
      </c>
      <c r="Z384" s="1074">
        <v>0</v>
      </c>
      <c r="AA384" s="1074">
        <v>5051.3999999999996</v>
      </c>
      <c r="AB384" s="1074">
        <v>392.8</v>
      </c>
      <c r="AC384" s="1074">
        <v>0</v>
      </c>
      <c r="AD384" s="1074">
        <v>0</v>
      </c>
      <c r="AE384" s="1074">
        <v>1841001</v>
      </c>
      <c r="AF384" s="1074" t="s">
        <v>251</v>
      </c>
      <c r="AG384" s="1095">
        <f>VLOOKUP(B384,עזר!A$2:B$329,2,FALSE)</f>
        <v>62997.91</v>
      </c>
      <c r="AH384" s="1074">
        <f>Q384*3</f>
        <v>18974.79</v>
      </c>
      <c r="AI384" s="1074">
        <f>AH384+AG384</f>
        <v>81972.700000000012</v>
      </c>
      <c r="AJ384" s="1077">
        <f>VLOOKUP(B384,Sheet1!D$2:K$430,7,FALSE)</f>
        <v>0.83</v>
      </c>
      <c r="AK384" s="1074">
        <f>VLOOKUP(B384,Sheet1!D$2:L$430,8,FALSE)</f>
        <v>76000</v>
      </c>
      <c r="AL384" s="1109">
        <f>O384</f>
        <v>0.83</v>
      </c>
      <c r="AM384" s="1074">
        <f>AI384*1.02</f>
        <v>83612.15400000001</v>
      </c>
      <c r="AN384" s="1085">
        <f t="shared" si="170"/>
        <v>0.83</v>
      </c>
      <c r="AO384" s="1074">
        <f t="shared" si="170"/>
        <v>83612.15400000001</v>
      </c>
      <c r="AP384" s="1080" t="s">
        <v>3258</v>
      </c>
      <c r="AR384" s="1125"/>
    </row>
    <row r="385" spans="1:44" outlineLevel="1" x14ac:dyDescent="0.2">
      <c r="B385" s="1078"/>
      <c r="F385" s="1088" t="s">
        <v>3131</v>
      </c>
      <c r="O385" s="1077">
        <f>SUBTOTAL(9,O381:O384)</f>
        <v>3.63</v>
      </c>
      <c r="Q385" s="1074">
        <f>SUBTOTAL(9,Q381:Q384)</f>
        <v>41912.700000000004</v>
      </c>
      <c r="R385" s="1074"/>
      <c r="S385" s="1074"/>
      <c r="T385" s="1074"/>
      <c r="U385" s="1074"/>
      <c r="V385" s="1074"/>
      <c r="W385" s="1074"/>
      <c r="X385" s="1074"/>
      <c r="Y385" s="1074"/>
      <c r="Z385" s="1074"/>
      <c r="AA385" s="1074"/>
      <c r="AB385" s="1074"/>
      <c r="AC385" s="1074"/>
      <c r="AD385" s="1074"/>
      <c r="AE385" s="1074"/>
      <c r="AF385" s="1074"/>
      <c r="AG385" s="1095">
        <f t="shared" ref="AG385:AM385" si="171">SUBTOTAL(9,AG381:AG384)</f>
        <v>344027.58000000007</v>
      </c>
      <c r="AH385" s="1074">
        <f t="shared" si="171"/>
        <v>125738.1</v>
      </c>
      <c r="AI385" s="1074">
        <f t="shared" si="171"/>
        <v>469765.68</v>
      </c>
      <c r="AJ385" s="1077">
        <f t="shared" si="171"/>
        <v>3.63</v>
      </c>
      <c r="AK385" s="1074">
        <f t="shared" si="171"/>
        <v>390000</v>
      </c>
      <c r="AL385" s="1109">
        <f t="shared" si="171"/>
        <v>3.63</v>
      </c>
      <c r="AM385" s="1074">
        <f t="shared" si="171"/>
        <v>479160.99360000005</v>
      </c>
      <c r="AP385" s="1080"/>
    </row>
    <row r="386" spans="1:44" outlineLevel="2" x14ac:dyDescent="0.2">
      <c r="A386" s="1075">
        <v>506</v>
      </c>
      <c r="B386" s="1078">
        <v>2824491</v>
      </c>
      <c r="C386" s="1075">
        <v>28244911</v>
      </c>
      <c r="D386" s="1075" t="s">
        <v>1531</v>
      </c>
      <c r="E386" s="1075" t="s">
        <v>2316</v>
      </c>
      <c r="F386" s="1075">
        <v>841300</v>
      </c>
      <c r="G386" s="1075" t="s">
        <v>2107</v>
      </c>
      <c r="H386" s="1075">
        <v>90534</v>
      </c>
      <c r="I386" s="1075">
        <v>0</v>
      </c>
      <c r="J386" s="1075">
        <v>5</v>
      </c>
      <c r="K386" s="1075">
        <v>37</v>
      </c>
      <c r="L386" s="1075">
        <v>0</v>
      </c>
      <c r="M386" s="1075" t="s">
        <v>3186</v>
      </c>
      <c r="N386" s="1075" t="s">
        <v>3186</v>
      </c>
      <c r="O386" s="1077">
        <f>P386/100</f>
        <v>0.83</v>
      </c>
      <c r="P386" s="1075">
        <v>83</v>
      </c>
      <c r="Q386" s="1074">
        <v>6579.86</v>
      </c>
      <c r="R386" s="1074">
        <v>541.66999999999996</v>
      </c>
      <c r="S386" s="1074">
        <v>193.24</v>
      </c>
      <c r="T386" s="1074">
        <v>5437.24</v>
      </c>
      <c r="U386" s="1074">
        <v>0</v>
      </c>
      <c r="V386" s="1074">
        <v>0</v>
      </c>
      <c r="W386" s="1074">
        <v>0</v>
      </c>
      <c r="X386" s="1074">
        <v>0</v>
      </c>
      <c r="Y386" s="1074">
        <v>40.35</v>
      </c>
      <c r="Z386" s="1074">
        <v>0</v>
      </c>
      <c r="AA386" s="1074">
        <v>5396.89</v>
      </c>
      <c r="AB386" s="1074">
        <v>407.71</v>
      </c>
      <c r="AC386" s="1074">
        <v>0</v>
      </c>
      <c r="AD386" s="1074">
        <v>0</v>
      </c>
      <c r="AE386" s="1074">
        <v>1841300</v>
      </c>
      <c r="AF386" s="1074" t="s">
        <v>251</v>
      </c>
      <c r="AG386" s="1095">
        <f>VLOOKUP(B386,עזר!A$2:B$329,2,FALSE)</f>
        <v>58660.5</v>
      </c>
      <c r="AH386" s="1074">
        <f>Q386*3</f>
        <v>19739.579999999998</v>
      </c>
      <c r="AI386" s="1074">
        <f>AH386+AG386</f>
        <v>78400.08</v>
      </c>
      <c r="AJ386" s="1077">
        <v>0.8</v>
      </c>
      <c r="AK386" s="1074">
        <v>30000</v>
      </c>
      <c r="AL386" s="1109">
        <v>0</v>
      </c>
      <c r="AM386" s="1074" t="s">
        <v>251</v>
      </c>
      <c r="AN386" s="1085">
        <f t="shared" ref="AN386:AO388" si="172">AL386</f>
        <v>0</v>
      </c>
      <c r="AO386" s="1074" t="str">
        <f t="shared" si="172"/>
        <v xml:space="preserve"> </v>
      </c>
      <c r="AP386" s="1080"/>
      <c r="AR386" s="1125"/>
    </row>
    <row r="387" spans="1:44" outlineLevel="2" x14ac:dyDescent="0.2">
      <c r="A387" s="1075">
        <v>506</v>
      </c>
      <c r="B387" s="1078">
        <v>5625612</v>
      </c>
      <c r="C387" s="1075">
        <v>56256126</v>
      </c>
      <c r="D387" s="1075" t="s">
        <v>2157</v>
      </c>
      <c r="E387" s="1075" t="s">
        <v>2320</v>
      </c>
      <c r="F387" s="1075">
        <v>841300</v>
      </c>
      <c r="G387" s="1075" t="s">
        <v>2107</v>
      </c>
      <c r="H387" s="1075">
        <v>90534</v>
      </c>
      <c r="I387" s="1075">
        <v>1</v>
      </c>
      <c r="J387" s="1075">
        <v>0</v>
      </c>
      <c r="K387" s="1075">
        <v>0</v>
      </c>
      <c r="L387" s="1075">
        <v>0</v>
      </c>
      <c r="M387" s="1075" t="s">
        <v>3186</v>
      </c>
      <c r="N387" s="1075" t="s">
        <v>3186</v>
      </c>
      <c r="O387" s="1077">
        <f>P387/100</f>
        <v>0</v>
      </c>
      <c r="P387" s="1075">
        <v>0</v>
      </c>
      <c r="Q387" s="1074">
        <v>2585.27</v>
      </c>
      <c r="R387" s="1074">
        <v>275.75</v>
      </c>
      <c r="S387" s="1074">
        <v>71.819999999999993</v>
      </c>
      <c r="T387" s="1074">
        <v>2081.6</v>
      </c>
      <c r="U387" s="1074">
        <v>0</v>
      </c>
      <c r="V387" s="1074">
        <v>0</v>
      </c>
      <c r="W387" s="1074">
        <v>0</v>
      </c>
      <c r="X387" s="1074">
        <v>0</v>
      </c>
      <c r="Y387" s="1074">
        <v>38.700000000000003</v>
      </c>
      <c r="Z387" s="1074">
        <v>0</v>
      </c>
      <c r="AA387" s="1074">
        <v>2042.9</v>
      </c>
      <c r="AB387" s="1074">
        <v>156.1</v>
      </c>
      <c r="AC387" s="1074">
        <v>0</v>
      </c>
      <c r="AD387" s="1074">
        <v>0</v>
      </c>
      <c r="AE387" s="1074">
        <v>1841300</v>
      </c>
      <c r="AF387" s="1074" t="s">
        <v>251</v>
      </c>
      <c r="AG387" s="1095">
        <f>VLOOKUP(B387,עזר!A$2:B$329,2,FALSE)</f>
        <v>26646.71</v>
      </c>
      <c r="AH387" s="1074">
        <f>Q387*3</f>
        <v>7755.8099999999995</v>
      </c>
      <c r="AI387" s="1074">
        <f>AH387+AG387</f>
        <v>34402.519999999997</v>
      </c>
      <c r="AJ387" s="1077">
        <v>0</v>
      </c>
      <c r="AK387" s="1074">
        <v>0</v>
      </c>
      <c r="AL387" s="1109">
        <f>O387</f>
        <v>0</v>
      </c>
      <c r="AM387" s="1074">
        <v>60000</v>
      </c>
      <c r="AN387" s="1085">
        <f t="shared" si="172"/>
        <v>0</v>
      </c>
      <c r="AO387" s="1074">
        <f t="shared" si="172"/>
        <v>60000</v>
      </c>
      <c r="AP387" s="1080"/>
    </row>
    <row r="388" spans="1:44" outlineLevel="2" x14ac:dyDescent="0.2">
      <c r="A388" s="1075">
        <v>506</v>
      </c>
      <c r="B388" s="1078">
        <v>2815747</v>
      </c>
      <c r="C388" s="1075">
        <v>2815747</v>
      </c>
      <c r="D388" s="1075" t="s">
        <v>1432</v>
      </c>
      <c r="E388" s="1075" t="s">
        <v>1684</v>
      </c>
      <c r="F388" s="1075">
        <v>841300</v>
      </c>
      <c r="M388" s="1075" t="s">
        <v>3186</v>
      </c>
      <c r="N388" s="1075" t="s">
        <v>3186</v>
      </c>
      <c r="O388" s="1077">
        <v>0</v>
      </c>
      <c r="Q388" s="1085">
        <v>0</v>
      </c>
      <c r="R388" s="1085"/>
      <c r="S388" s="1085"/>
      <c r="T388" s="1085"/>
      <c r="U388" s="1085"/>
      <c r="V388" s="1085"/>
      <c r="W388" s="1085"/>
      <c r="X388" s="1085"/>
      <c r="Y388" s="1085"/>
      <c r="Z388" s="1085"/>
      <c r="AA388" s="1085"/>
      <c r="AB388" s="1085"/>
      <c r="AC388" s="1085"/>
      <c r="AD388" s="1085"/>
      <c r="AE388" s="1085"/>
      <c r="AF388" s="1085"/>
      <c r="AG388" s="1096">
        <v>0</v>
      </c>
      <c r="AH388" s="1085">
        <f>Q388*3</f>
        <v>0</v>
      </c>
      <c r="AI388" s="1085">
        <v>0</v>
      </c>
      <c r="AJ388" s="1077">
        <v>0.6</v>
      </c>
      <c r="AK388" s="1074">
        <v>57285</v>
      </c>
      <c r="AL388" s="1109">
        <f>O388</f>
        <v>0</v>
      </c>
      <c r="AM388" s="1074">
        <f>AI388*1.02</f>
        <v>0</v>
      </c>
      <c r="AN388" s="1085">
        <f t="shared" si="172"/>
        <v>0</v>
      </c>
      <c r="AO388" s="1074">
        <f t="shared" si="172"/>
        <v>0</v>
      </c>
      <c r="AP388" s="1080"/>
    </row>
    <row r="389" spans="1:44" outlineLevel="1" x14ac:dyDescent="0.2">
      <c r="B389" s="1078"/>
      <c r="F389" s="1088" t="s">
        <v>3132</v>
      </c>
      <c r="O389" s="1077">
        <f>SUBTOTAL(9,O386:O388)</f>
        <v>0.83</v>
      </c>
      <c r="Q389" s="1085">
        <f>SUBTOTAL(9,Q386:Q388)</f>
        <v>9165.1299999999992</v>
      </c>
      <c r="R389" s="1085"/>
      <c r="S389" s="1085"/>
      <c r="T389" s="1085"/>
      <c r="U389" s="1085"/>
      <c r="V389" s="1085"/>
      <c r="W389" s="1085"/>
      <c r="X389" s="1085"/>
      <c r="Y389" s="1085"/>
      <c r="Z389" s="1085"/>
      <c r="AA389" s="1085"/>
      <c r="AB389" s="1085"/>
      <c r="AC389" s="1085"/>
      <c r="AD389" s="1085"/>
      <c r="AE389" s="1085"/>
      <c r="AF389" s="1085"/>
      <c r="AG389" s="1096">
        <f t="shared" ref="AG389:AM389" si="173">SUBTOTAL(9,AG386:AG388)</f>
        <v>85307.209999999992</v>
      </c>
      <c r="AH389" s="1085">
        <f t="shared" si="173"/>
        <v>27495.39</v>
      </c>
      <c r="AI389" s="1085">
        <f t="shared" si="173"/>
        <v>112802.6</v>
      </c>
      <c r="AJ389" s="1077">
        <f t="shared" si="173"/>
        <v>1.4</v>
      </c>
      <c r="AK389" s="1074">
        <f t="shared" si="173"/>
        <v>87285</v>
      </c>
      <c r="AL389" s="1109">
        <f t="shared" si="173"/>
        <v>0</v>
      </c>
      <c r="AM389" s="1074">
        <f t="shared" si="173"/>
        <v>60000</v>
      </c>
      <c r="AP389" s="1080">
        <f>SUBTOTAL(9,AP386:AP388)</f>
        <v>0</v>
      </c>
    </row>
    <row r="390" spans="1:44" outlineLevel="2" x14ac:dyDescent="0.2">
      <c r="A390" s="1075">
        <v>506</v>
      </c>
      <c r="B390" s="1078">
        <v>2824491</v>
      </c>
      <c r="C390" s="1075">
        <v>28244911</v>
      </c>
      <c r="D390" s="1075" t="s">
        <v>1531</v>
      </c>
      <c r="E390" s="1075" t="s">
        <v>2316</v>
      </c>
      <c r="F390" s="1075">
        <v>845200</v>
      </c>
      <c r="G390" s="1075" t="s">
        <v>2107</v>
      </c>
      <c r="H390" s="1075">
        <v>90534</v>
      </c>
      <c r="I390" s="1075">
        <v>1</v>
      </c>
      <c r="J390" s="1075">
        <v>0</v>
      </c>
      <c r="K390" s="1075">
        <v>0</v>
      </c>
      <c r="L390" s="1075">
        <v>0</v>
      </c>
      <c r="M390" s="1075" t="s">
        <v>134</v>
      </c>
      <c r="N390" s="1075" t="s">
        <v>1688</v>
      </c>
      <c r="O390" s="1077">
        <f>P390/100</f>
        <v>0</v>
      </c>
      <c r="P390" s="1075">
        <v>0</v>
      </c>
      <c r="Q390" s="1074">
        <v>3756.43</v>
      </c>
      <c r="R390" s="1074">
        <v>6.18</v>
      </c>
      <c r="S390" s="1074">
        <v>120.11</v>
      </c>
      <c r="T390" s="1074">
        <v>3376.8</v>
      </c>
      <c r="U390" s="1074">
        <v>0</v>
      </c>
      <c r="V390" s="1074">
        <v>0</v>
      </c>
      <c r="W390" s="1074">
        <v>0</v>
      </c>
      <c r="X390" s="1074">
        <v>0</v>
      </c>
      <c r="Y390" s="1074">
        <v>156</v>
      </c>
      <c r="Z390" s="1074">
        <v>0</v>
      </c>
      <c r="AA390" s="1074">
        <v>3220.8</v>
      </c>
      <c r="AB390" s="1074">
        <v>253.34</v>
      </c>
      <c r="AC390" s="1074">
        <v>0</v>
      </c>
      <c r="AD390" s="1074">
        <v>0</v>
      </c>
      <c r="AE390" s="1074">
        <v>1845200</v>
      </c>
      <c r="AF390" s="1074" t="s">
        <v>251</v>
      </c>
      <c r="AG390" s="1095"/>
      <c r="AH390" s="1074">
        <f>Q390*3</f>
        <v>11269.289999999999</v>
      </c>
      <c r="AI390" s="1074">
        <f>AH390+AG390</f>
        <v>11269.289999999999</v>
      </c>
      <c r="AJ390" s="1077">
        <v>0.6</v>
      </c>
      <c r="AK390" s="1074">
        <v>40000</v>
      </c>
      <c r="AL390" s="1109">
        <f>O390</f>
        <v>0</v>
      </c>
      <c r="AM390" s="1074">
        <v>0</v>
      </c>
      <c r="AN390" s="1085">
        <f t="shared" ref="AN390:AO393" si="174">AL390</f>
        <v>0</v>
      </c>
      <c r="AO390" s="1074">
        <f t="shared" si="174"/>
        <v>0</v>
      </c>
      <c r="AP390" s="1080"/>
    </row>
    <row r="391" spans="1:44" outlineLevel="2" x14ac:dyDescent="0.2">
      <c r="A391" s="1075">
        <v>506</v>
      </c>
      <c r="B391" s="1078">
        <v>5703234</v>
      </c>
      <c r="C391" s="1075">
        <v>57032344</v>
      </c>
      <c r="D391" s="1075" t="s">
        <v>2321</v>
      </c>
      <c r="E391" s="1075" t="s">
        <v>2178</v>
      </c>
      <c r="F391" s="1075">
        <v>845200</v>
      </c>
      <c r="G391" s="1075" t="s">
        <v>2107</v>
      </c>
      <c r="H391" s="1075">
        <v>90534</v>
      </c>
      <c r="I391" s="1075">
        <v>1</v>
      </c>
      <c r="J391" s="1075">
        <v>0</v>
      </c>
      <c r="K391" s="1075">
        <v>0</v>
      </c>
      <c r="L391" s="1075">
        <v>0</v>
      </c>
      <c r="M391" s="1075" t="s">
        <v>134</v>
      </c>
      <c r="N391" s="1075" t="s">
        <v>1688</v>
      </c>
      <c r="O391" s="1077">
        <f>P391/100</f>
        <v>0</v>
      </c>
      <c r="P391" s="1075">
        <v>0</v>
      </c>
      <c r="Q391" s="1074">
        <v>3420.1</v>
      </c>
      <c r="R391" s="1074">
        <v>0</v>
      </c>
      <c r="S391" s="1074">
        <v>0</v>
      </c>
      <c r="T391" s="1074">
        <v>3181.5</v>
      </c>
      <c r="U391" s="1074">
        <v>0</v>
      </c>
      <c r="V391" s="1074">
        <v>0</v>
      </c>
      <c r="W391" s="1074">
        <v>0</v>
      </c>
      <c r="X391" s="1074">
        <v>0</v>
      </c>
      <c r="Y391" s="1074">
        <v>0</v>
      </c>
      <c r="Z391" s="1074">
        <v>0</v>
      </c>
      <c r="AA391" s="1074">
        <v>3181.5</v>
      </c>
      <c r="AB391" s="1074">
        <v>238.6</v>
      </c>
      <c r="AC391" s="1074">
        <v>0</v>
      </c>
      <c r="AD391" s="1074">
        <v>0</v>
      </c>
      <c r="AE391" s="1074">
        <v>1845200</v>
      </c>
      <c r="AF391" s="1074" t="s">
        <v>251</v>
      </c>
      <c r="AG391" s="1095">
        <f>VLOOKUP(B391,עזר!A$2:B$329,2,FALSE)</f>
        <v>42078.73</v>
      </c>
      <c r="AH391" s="1074">
        <f>Q391*3</f>
        <v>10260.299999999999</v>
      </c>
      <c r="AI391" s="1074">
        <f>AH391+AG391</f>
        <v>52339.03</v>
      </c>
      <c r="AJ391" s="1077">
        <f>VLOOKUP(B391,Sheet1!D$2:K$430,7,FALSE)</f>
        <v>0.6</v>
      </c>
      <c r="AK391" s="1074">
        <f>VLOOKUP(B391,Sheet1!D$2:L$430,8,FALSE)</f>
        <v>65000</v>
      </c>
      <c r="AL391" s="1109">
        <f>O391</f>
        <v>0</v>
      </c>
      <c r="AM391" s="1074">
        <v>0</v>
      </c>
      <c r="AN391" s="1085">
        <f t="shared" si="174"/>
        <v>0</v>
      </c>
      <c r="AO391" s="1074">
        <f t="shared" si="174"/>
        <v>0</v>
      </c>
      <c r="AP391" s="1080"/>
    </row>
    <row r="392" spans="1:44" outlineLevel="2" x14ac:dyDescent="0.2">
      <c r="A392" s="1075">
        <v>506</v>
      </c>
      <c r="B392" s="1078">
        <v>5760408</v>
      </c>
      <c r="C392" s="1075">
        <v>57604084</v>
      </c>
      <c r="D392" s="1075" t="s">
        <v>2322</v>
      </c>
      <c r="E392" s="1075" t="s">
        <v>1691</v>
      </c>
      <c r="F392" s="1075">
        <v>845200</v>
      </c>
      <c r="G392" s="1075" t="s">
        <v>2107</v>
      </c>
      <c r="H392" s="1075">
        <v>90534</v>
      </c>
      <c r="I392" s="1075">
        <v>0</v>
      </c>
      <c r="J392" s="1075">
        <v>3</v>
      </c>
      <c r="K392" s="1075">
        <v>2</v>
      </c>
      <c r="L392" s="1075">
        <v>0</v>
      </c>
      <c r="M392" s="1075" t="s">
        <v>134</v>
      </c>
      <c r="N392" s="1075" t="s">
        <v>1688</v>
      </c>
      <c r="O392" s="1077">
        <f>P392/100</f>
        <v>1</v>
      </c>
      <c r="P392" s="1075">
        <v>100</v>
      </c>
      <c r="Q392" s="1074">
        <v>22073.02</v>
      </c>
      <c r="R392" s="1074">
        <v>1464.8</v>
      </c>
      <c r="S392" s="1074">
        <v>1126.6600000000001</v>
      </c>
      <c r="T392" s="1074">
        <v>18119.86</v>
      </c>
      <c r="U392" s="1074">
        <v>0</v>
      </c>
      <c r="V392" s="1074">
        <v>0</v>
      </c>
      <c r="W392" s="1074">
        <v>2860.05</v>
      </c>
      <c r="X392" s="1074">
        <v>0</v>
      </c>
      <c r="Y392" s="1074">
        <v>237.3</v>
      </c>
      <c r="Z392" s="1074">
        <v>0</v>
      </c>
      <c r="AA392" s="1074">
        <v>15022.51</v>
      </c>
      <c r="AB392" s="1074">
        <v>1361.7</v>
      </c>
      <c r="AC392" s="1074">
        <v>0</v>
      </c>
      <c r="AD392" s="1074">
        <v>0</v>
      </c>
      <c r="AE392" s="1074">
        <v>1845200</v>
      </c>
      <c r="AF392" s="1074" t="s">
        <v>251</v>
      </c>
      <c r="AG392" s="1095">
        <f>VLOOKUP(B392,עזר!A$2:B$329,2,FALSE)</f>
        <v>160338.71</v>
      </c>
      <c r="AH392" s="1074">
        <f>Q392*3</f>
        <v>66219.06</v>
      </c>
      <c r="AI392" s="1074">
        <f>AH392+AG392</f>
        <v>226557.77</v>
      </c>
      <c r="AJ392" s="1077">
        <v>1</v>
      </c>
      <c r="AK392" s="1074">
        <v>180000</v>
      </c>
      <c r="AL392" s="1109">
        <f>O392</f>
        <v>1</v>
      </c>
      <c r="AM392" s="1074">
        <f>AI392*1.02*8/12</f>
        <v>154059.2836</v>
      </c>
      <c r="AN392" s="1085">
        <v>0</v>
      </c>
      <c r="AO392" s="1074">
        <v>0</v>
      </c>
      <c r="AP392" s="1080">
        <v>75</v>
      </c>
    </row>
    <row r="393" spans="1:44" outlineLevel="2" x14ac:dyDescent="0.2">
      <c r="A393" s="1075">
        <v>506</v>
      </c>
      <c r="B393" s="1078">
        <v>5763016</v>
      </c>
      <c r="C393" s="1075">
        <v>57630162</v>
      </c>
      <c r="D393" s="1075" t="s">
        <v>2260</v>
      </c>
      <c r="E393" s="1075" t="s">
        <v>2323</v>
      </c>
      <c r="F393" s="1075">
        <v>845200</v>
      </c>
      <c r="G393" s="1075" t="s">
        <v>2107</v>
      </c>
      <c r="H393" s="1075">
        <v>90534</v>
      </c>
      <c r="I393" s="1075">
        <v>1</v>
      </c>
      <c r="J393" s="1075">
        <v>0</v>
      </c>
      <c r="K393" s="1075">
        <v>0</v>
      </c>
      <c r="L393" s="1075">
        <v>0</v>
      </c>
      <c r="M393" s="1075" t="s">
        <v>134</v>
      </c>
      <c r="N393" s="1075" t="s">
        <v>1688</v>
      </c>
      <c r="O393" s="1077">
        <f>P393/100</f>
        <v>0</v>
      </c>
      <c r="P393" s="1075">
        <v>0</v>
      </c>
      <c r="Q393" s="1074">
        <v>9993</v>
      </c>
      <c r="R393" s="1074">
        <v>0</v>
      </c>
      <c r="S393" s="1074">
        <v>0</v>
      </c>
      <c r="T393" s="1074">
        <v>9295.7999999999993</v>
      </c>
      <c r="U393" s="1074">
        <v>0</v>
      </c>
      <c r="V393" s="1074">
        <v>0</v>
      </c>
      <c r="W393" s="1074">
        <v>0</v>
      </c>
      <c r="X393" s="1074">
        <v>0</v>
      </c>
      <c r="Y393" s="1074">
        <v>0</v>
      </c>
      <c r="Z393" s="1074">
        <v>0</v>
      </c>
      <c r="AA393" s="1074">
        <v>9295.7999999999993</v>
      </c>
      <c r="AB393" s="1074">
        <v>697.2</v>
      </c>
      <c r="AC393" s="1074">
        <v>0</v>
      </c>
      <c r="AD393" s="1074">
        <v>0</v>
      </c>
      <c r="AE393" s="1074">
        <v>1845200</v>
      </c>
      <c r="AF393" s="1074" t="s">
        <v>251</v>
      </c>
      <c r="AG393" s="1095">
        <f>VLOOKUP(B393,עזר!A$2:B$329,2,FALSE)</f>
        <v>84010.2</v>
      </c>
      <c r="AH393" s="1074">
        <f>Q393*3</f>
        <v>29979</v>
      </c>
      <c r="AI393" s="1074">
        <f>AH393+AG393</f>
        <v>113989.2</v>
      </c>
      <c r="AJ393" s="1077">
        <v>0.6</v>
      </c>
      <c r="AK393" s="1074">
        <v>75000</v>
      </c>
      <c r="AL393" s="1109">
        <f>O393</f>
        <v>0</v>
      </c>
      <c r="AM393" s="1074">
        <v>0</v>
      </c>
      <c r="AN393" s="1085">
        <f t="shared" si="174"/>
        <v>0</v>
      </c>
      <c r="AO393" s="1074">
        <f t="shared" si="174"/>
        <v>0</v>
      </c>
      <c r="AP393" s="1080"/>
    </row>
    <row r="394" spans="1:44" outlineLevel="1" x14ac:dyDescent="0.2">
      <c r="B394" s="1078"/>
      <c r="F394" s="1088" t="s">
        <v>3133</v>
      </c>
      <c r="O394" s="1077">
        <f>SUBTOTAL(9,O390:O393)</f>
        <v>1</v>
      </c>
      <c r="Q394" s="1074">
        <f>SUBTOTAL(9,Q390:Q393)</f>
        <v>39242.550000000003</v>
      </c>
      <c r="R394" s="1074"/>
      <c r="S394" s="1074"/>
      <c r="T394" s="1074"/>
      <c r="U394" s="1074"/>
      <c r="V394" s="1074"/>
      <c r="W394" s="1074"/>
      <c r="X394" s="1074"/>
      <c r="Y394" s="1074"/>
      <c r="Z394" s="1074"/>
      <c r="AA394" s="1074"/>
      <c r="AB394" s="1074"/>
      <c r="AC394" s="1074"/>
      <c r="AD394" s="1074"/>
      <c r="AE394" s="1074"/>
      <c r="AF394" s="1074"/>
      <c r="AG394" s="1095">
        <f t="shared" ref="AG394:AM394" si="175">SUBTOTAL(9,AG390:AG393)</f>
        <v>286427.64</v>
      </c>
      <c r="AH394" s="1074">
        <f t="shared" si="175"/>
        <v>117727.65</v>
      </c>
      <c r="AI394" s="1074">
        <f t="shared" si="175"/>
        <v>404155.29</v>
      </c>
      <c r="AJ394" s="1077">
        <f t="shared" si="175"/>
        <v>2.8000000000000003</v>
      </c>
      <c r="AK394" s="1074">
        <f t="shared" si="175"/>
        <v>360000</v>
      </c>
      <c r="AL394" s="1109">
        <f t="shared" si="175"/>
        <v>1</v>
      </c>
      <c r="AM394" s="1074">
        <f t="shared" si="175"/>
        <v>154059.2836</v>
      </c>
      <c r="AP394" s="1080"/>
    </row>
    <row r="395" spans="1:44" outlineLevel="2" x14ac:dyDescent="0.2">
      <c r="A395" s="1075">
        <v>506</v>
      </c>
      <c r="B395" s="1078">
        <v>5625702</v>
      </c>
      <c r="C395" s="1075">
        <v>56257025</v>
      </c>
      <c r="D395" s="1075" t="s">
        <v>2180</v>
      </c>
      <c r="E395" s="1075" t="s">
        <v>2324</v>
      </c>
      <c r="F395" s="1075">
        <v>913000</v>
      </c>
      <c r="G395" s="1075" t="s">
        <v>2107</v>
      </c>
      <c r="H395" s="1075">
        <v>90534</v>
      </c>
      <c r="I395" s="1075">
        <v>0</v>
      </c>
      <c r="J395" s="1075">
        <v>5</v>
      </c>
      <c r="K395" s="1075">
        <v>12</v>
      </c>
      <c r="L395" s="1075">
        <v>0</v>
      </c>
      <c r="O395" s="1077">
        <f>P395/100</f>
        <v>1</v>
      </c>
      <c r="P395" s="1075">
        <v>100</v>
      </c>
      <c r="Q395" s="1074">
        <v>20035.88</v>
      </c>
      <c r="R395" s="1074">
        <v>1062.3</v>
      </c>
      <c r="S395" s="1074">
        <v>1243.67</v>
      </c>
      <c r="T395" s="1074">
        <v>16251.21</v>
      </c>
      <c r="U395" s="1074">
        <v>2257.9</v>
      </c>
      <c r="V395" s="1074">
        <v>0</v>
      </c>
      <c r="W395" s="1074">
        <v>0</v>
      </c>
      <c r="X395" s="1074">
        <v>0</v>
      </c>
      <c r="Y395" s="1074">
        <v>48.6</v>
      </c>
      <c r="Z395" s="1074">
        <v>2192.25</v>
      </c>
      <c r="AA395" s="1074">
        <v>11752.46</v>
      </c>
      <c r="AB395" s="1074">
        <v>1478.7</v>
      </c>
      <c r="AC395" s="1074">
        <v>0</v>
      </c>
      <c r="AD395" s="1074">
        <v>0</v>
      </c>
      <c r="AE395" s="1074">
        <v>1913000</v>
      </c>
      <c r="AF395" s="1074" t="s">
        <v>251</v>
      </c>
      <c r="AG395" s="1095">
        <f>VLOOKUP(B395,עזר!A$2:B$329,2,FALSE)</f>
        <v>155999.97</v>
      </c>
      <c r="AH395" s="1074">
        <f>Q395*3</f>
        <v>60107.64</v>
      </c>
      <c r="AI395" s="1074">
        <f>AH395+AG395</f>
        <v>216107.61</v>
      </c>
      <c r="AJ395" s="1077">
        <f>VLOOKUP(B395,Sheet1!D$2:K$430,7,FALSE)</f>
        <v>1</v>
      </c>
      <c r="AK395" s="1074">
        <f>VLOOKUP(B395,Sheet1!D$2:L$430,8,FALSE)</f>
        <v>200000</v>
      </c>
      <c r="AL395" s="1109">
        <v>0</v>
      </c>
      <c r="AM395" s="1074">
        <v>0</v>
      </c>
      <c r="AN395" s="1085">
        <f t="shared" ref="AN395:AO397" si="176">AL395</f>
        <v>0</v>
      </c>
      <c r="AO395" s="1074">
        <f t="shared" si="176"/>
        <v>0</v>
      </c>
      <c r="AP395" s="1080"/>
    </row>
    <row r="396" spans="1:44" outlineLevel="2" x14ac:dyDescent="0.2">
      <c r="A396" s="1075">
        <v>506</v>
      </c>
      <c r="B396" s="1078">
        <v>5987092</v>
      </c>
      <c r="C396" s="1075">
        <v>59870923</v>
      </c>
      <c r="D396" s="1075" t="s">
        <v>2131</v>
      </c>
      <c r="E396" s="1075" t="s">
        <v>2325</v>
      </c>
      <c r="F396" s="1075">
        <v>913000</v>
      </c>
      <c r="G396" s="1075" t="s">
        <v>2107</v>
      </c>
      <c r="H396" s="1075">
        <v>90534</v>
      </c>
      <c r="I396" s="1075">
        <v>0</v>
      </c>
      <c r="J396" s="1075">
        <v>5</v>
      </c>
      <c r="K396" s="1075">
        <v>9</v>
      </c>
      <c r="L396" s="1075">
        <v>0</v>
      </c>
      <c r="O396" s="1077">
        <f>P396/100</f>
        <v>1</v>
      </c>
      <c r="P396" s="1075">
        <v>100</v>
      </c>
      <c r="Q396" s="1074">
        <v>9446.68</v>
      </c>
      <c r="R396" s="1074">
        <v>703.85</v>
      </c>
      <c r="S396" s="1074">
        <v>352.66</v>
      </c>
      <c r="T396" s="1074">
        <v>7802.47</v>
      </c>
      <c r="U396" s="1074">
        <v>0</v>
      </c>
      <c r="V396" s="1074">
        <v>0</v>
      </c>
      <c r="W396" s="1074">
        <v>0</v>
      </c>
      <c r="X396" s="1074">
        <v>1198.8499999999999</v>
      </c>
      <c r="Y396" s="1074">
        <v>193.85</v>
      </c>
      <c r="Z396" s="1074">
        <v>0</v>
      </c>
      <c r="AA396" s="1074">
        <v>6409.77</v>
      </c>
      <c r="AB396" s="1074">
        <v>587.70000000000005</v>
      </c>
      <c r="AC396" s="1074">
        <v>0</v>
      </c>
      <c r="AD396" s="1074">
        <v>0</v>
      </c>
      <c r="AE396" s="1074">
        <v>1913000</v>
      </c>
      <c r="AF396" s="1074" t="s">
        <v>251</v>
      </c>
      <c r="AG396" s="1095">
        <f>VLOOKUP(B396,עזר!A$2:B$329,2,FALSE)</f>
        <v>97789.38</v>
      </c>
      <c r="AH396" s="1074">
        <f>Q396*3</f>
        <v>28340.04</v>
      </c>
      <c r="AI396" s="1074">
        <f>AH396+AG396</f>
        <v>126129.42000000001</v>
      </c>
      <c r="AJ396" s="1077">
        <f>VLOOKUP(B396,Sheet1!D$2:K$430,7,FALSE)</f>
        <v>1</v>
      </c>
      <c r="AK396" s="1074">
        <f>VLOOKUP(B396,Sheet1!D$2:L$430,8,FALSE)</f>
        <v>122000</v>
      </c>
      <c r="AL396" s="1109">
        <v>1</v>
      </c>
      <c r="AM396" s="1074">
        <v>120000</v>
      </c>
      <c r="AN396" s="1085">
        <f t="shared" si="176"/>
        <v>1</v>
      </c>
      <c r="AO396" s="1074">
        <f t="shared" si="176"/>
        <v>120000</v>
      </c>
      <c r="AP396" s="1080"/>
    </row>
    <row r="397" spans="1:44" outlineLevel="2" x14ac:dyDescent="0.2">
      <c r="A397" s="1075">
        <v>506</v>
      </c>
      <c r="B397" s="1075">
        <v>30018623</v>
      </c>
      <c r="C397" s="1075">
        <v>300186236</v>
      </c>
      <c r="D397" s="1075" t="s">
        <v>2411</v>
      </c>
      <c r="E397" s="1075" t="s">
        <v>959</v>
      </c>
      <c r="F397" s="1075">
        <v>913000</v>
      </c>
      <c r="G397" s="1075" t="s">
        <v>2384</v>
      </c>
      <c r="H397" s="1075">
        <v>90534</v>
      </c>
      <c r="I397" s="1075">
        <v>1</v>
      </c>
      <c r="J397" s="1075">
        <v>0</v>
      </c>
      <c r="K397" s="1075">
        <v>0</v>
      </c>
      <c r="L397" s="1075">
        <v>0</v>
      </c>
      <c r="M397" s="1075" t="s">
        <v>138</v>
      </c>
      <c r="N397" s="1075" t="s">
        <v>138</v>
      </c>
      <c r="O397" s="1077">
        <v>0</v>
      </c>
      <c r="Q397" s="1074">
        <v>0</v>
      </c>
      <c r="R397" s="1074"/>
      <c r="S397" s="1074"/>
      <c r="T397" s="1074"/>
      <c r="U397" s="1074"/>
      <c r="V397" s="1074"/>
      <c r="W397" s="1074"/>
      <c r="X397" s="1074"/>
      <c r="Y397" s="1074"/>
      <c r="Z397" s="1074"/>
      <c r="AA397" s="1074"/>
      <c r="AB397" s="1074"/>
      <c r="AC397" s="1074"/>
      <c r="AD397" s="1074"/>
      <c r="AE397" s="1074"/>
      <c r="AF397" s="1074"/>
      <c r="AG397" s="1095">
        <f>VLOOKUP(B397,עזר!A$2:B$329,2,FALSE)</f>
        <v>51363.67</v>
      </c>
      <c r="AH397" s="1074">
        <f>Q397*3</f>
        <v>0</v>
      </c>
      <c r="AI397" s="1074">
        <f>AH397+AG397</f>
        <v>51363.67</v>
      </c>
      <c r="AJ397" s="1077">
        <f>VLOOKUP(B397,Sheet1!D$2:K$430,7,FALSE)</f>
        <v>0.6</v>
      </c>
      <c r="AK397" s="1074">
        <f>VLOOKUP(B397,Sheet1!D$2:L$430,8,FALSE)</f>
        <v>55000</v>
      </c>
      <c r="AL397" s="1109">
        <f>O397</f>
        <v>0</v>
      </c>
      <c r="AM397" s="1074">
        <v>0</v>
      </c>
      <c r="AN397" s="1085">
        <f t="shared" si="176"/>
        <v>0</v>
      </c>
      <c r="AO397" s="1074">
        <f t="shared" si="176"/>
        <v>0</v>
      </c>
      <c r="AP397" s="1080"/>
    </row>
    <row r="398" spans="1:44" outlineLevel="2" x14ac:dyDescent="0.2">
      <c r="C398" s="1075">
        <v>55751119</v>
      </c>
      <c r="D398" s="1075" t="s">
        <v>2216</v>
      </c>
      <c r="E398" s="1075" t="s">
        <v>2270</v>
      </c>
      <c r="F398" s="1075">
        <v>713000</v>
      </c>
      <c r="G398" s="1075" t="s">
        <v>2107</v>
      </c>
      <c r="H398" s="1075">
        <v>90534</v>
      </c>
      <c r="I398" s="1075">
        <v>0</v>
      </c>
      <c r="J398" s="1075">
        <v>5</v>
      </c>
      <c r="K398" s="1075">
        <v>9</v>
      </c>
      <c r="L398" s="1075">
        <v>0</v>
      </c>
      <c r="M398" s="1075" t="s">
        <v>413</v>
      </c>
      <c r="O398" s="1077">
        <v>1</v>
      </c>
      <c r="P398" s="1075">
        <v>100</v>
      </c>
      <c r="Q398" s="1074">
        <v>7788.03</v>
      </c>
      <c r="R398" s="1074">
        <v>631.20000000000005</v>
      </c>
      <c r="S398" s="1074">
        <v>249.07</v>
      </c>
      <c r="T398" s="1074">
        <v>6423.61</v>
      </c>
      <c r="U398" s="1074">
        <v>0</v>
      </c>
      <c r="V398" s="1074">
        <v>0</v>
      </c>
      <c r="W398" s="1074">
        <v>0</v>
      </c>
      <c r="X398" s="1074">
        <v>0</v>
      </c>
      <c r="Y398" s="1074">
        <v>222.9</v>
      </c>
      <c r="Z398" s="1074">
        <v>0</v>
      </c>
      <c r="AA398" s="1074">
        <v>6200.71</v>
      </c>
      <c r="AB398" s="1074">
        <v>484.15</v>
      </c>
      <c r="AC398" s="1074">
        <v>0</v>
      </c>
      <c r="AD398" s="1074">
        <v>0</v>
      </c>
      <c r="AE398" s="1074">
        <v>1713000</v>
      </c>
      <c r="AF398" s="1074" t="s">
        <v>251</v>
      </c>
      <c r="AG398" s="1095">
        <v>79387.320000000007</v>
      </c>
      <c r="AH398" s="1074">
        <v>23364.09</v>
      </c>
      <c r="AI398" s="1074">
        <v>102751.41</v>
      </c>
      <c r="AJ398" s="1077">
        <v>1</v>
      </c>
      <c r="AK398" s="1074">
        <v>110000</v>
      </c>
      <c r="AL398" s="1109">
        <v>1</v>
      </c>
      <c r="AM398" s="1074">
        <v>104806.4382</v>
      </c>
      <c r="AP398" s="1080"/>
    </row>
    <row r="399" spans="1:44" outlineLevel="1" x14ac:dyDescent="0.2">
      <c r="F399" s="1088" t="s">
        <v>3134</v>
      </c>
      <c r="O399" s="1077">
        <f>SUBTOTAL(9,O395:O397)</f>
        <v>2</v>
      </c>
      <c r="Q399" s="1074">
        <f>SUBTOTAL(9,Q395:Q398)</f>
        <v>37270.590000000004</v>
      </c>
      <c r="R399" s="1074">
        <f t="shared" ref="R399:AM399" si="177">SUBTOTAL(9,R395:R398)</f>
        <v>2397.3500000000004</v>
      </c>
      <c r="S399" s="1074">
        <f t="shared" si="177"/>
        <v>1845.4</v>
      </c>
      <c r="T399" s="1074">
        <f t="shared" si="177"/>
        <v>30477.29</v>
      </c>
      <c r="U399" s="1074">
        <f t="shared" si="177"/>
        <v>2257.9</v>
      </c>
      <c r="V399" s="1074">
        <f t="shared" si="177"/>
        <v>0</v>
      </c>
      <c r="W399" s="1074">
        <f t="shared" si="177"/>
        <v>0</v>
      </c>
      <c r="X399" s="1074">
        <f t="shared" si="177"/>
        <v>1198.8499999999999</v>
      </c>
      <c r="Y399" s="1074">
        <f t="shared" si="177"/>
        <v>465.35</v>
      </c>
      <c r="Z399" s="1074">
        <f t="shared" si="177"/>
        <v>2192.25</v>
      </c>
      <c r="AA399" s="1074">
        <f t="shared" si="177"/>
        <v>24362.94</v>
      </c>
      <c r="AB399" s="1074">
        <f t="shared" si="177"/>
        <v>2550.5500000000002</v>
      </c>
      <c r="AC399" s="1074">
        <f t="shared" si="177"/>
        <v>0</v>
      </c>
      <c r="AD399" s="1074">
        <f t="shared" si="177"/>
        <v>0</v>
      </c>
      <c r="AE399" s="1074">
        <f t="shared" si="177"/>
        <v>5539000</v>
      </c>
      <c r="AF399" s="1074">
        <f t="shared" si="177"/>
        <v>0</v>
      </c>
      <c r="AG399" s="1074">
        <f t="shared" si="177"/>
        <v>384540.34</v>
      </c>
      <c r="AH399" s="1074">
        <f t="shared" si="177"/>
        <v>111811.76999999999</v>
      </c>
      <c r="AI399" s="1074">
        <f t="shared" si="177"/>
        <v>496352.11</v>
      </c>
      <c r="AJ399" s="1074">
        <f t="shared" si="177"/>
        <v>3.6</v>
      </c>
      <c r="AK399" s="1074">
        <f t="shared" si="177"/>
        <v>487000</v>
      </c>
      <c r="AL399" s="1124">
        <f t="shared" si="177"/>
        <v>2</v>
      </c>
      <c r="AM399" s="1074">
        <f t="shared" si="177"/>
        <v>224806.4382</v>
      </c>
      <c r="AP399" s="1080">
        <f>SUBTOTAL(9,AP395:AP397)</f>
        <v>0</v>
      </c>
    </row>
    <row r="400" spans="1:44" outlineLevel="2" x14ac:dyDescent="0.2">
      <c r="A400" s="1075">
        <v>506</v>
      </c>
      <c r="B400" s="1078">
        <v>2012818</v>
      </c>
      <c r="C400" s="1075">
        <v>20128187</v>
      </c>
      <c r="D400" s="1075" t="s">
        <v>2208</v>
      </c>
      <c r="E400" s="1075" t="s">
        <v>1124</v>
      </c>
      <c r="F400" s="1075">
        <v>996000</v>
      </c>
      <c r="G400" s="1075" t="s">
        <v>2107</v>
      </c>
      <c r="H400" s="1075">
        <v>90534</v>
      </c>
      <c r="I400" s="1075">
        <v>3</v>
      </c>
      <c r="J400" s="1075">
        <v>5</v>
      </c>
      <c r="K400" s="1075">
        <v>6</v>
      </c>
      <c r="L400" s="1075">
        <v>0</v>
      </c>
      <c r="M400" s="1075" t="s">
        <v>425</v>
      </c>
      <c r="N400" s="1075" t="s">
        <v>425</v>
      </c>
      <c r="O400" s="1077">
        <f t="shared" ref="O400:O409" si="178">P400/100</f>
        <v>0.36</v>
      </c>
      <c r="P400" s="1075">
        <v>36</v>
      </c>
      <c r="Q400" s="1074">
        <v>3464.8</v>
      </c>
      <c r="R400" s="1074">
        <v>0</v>
      </c>
      <c r="S400" s="1074">
        <v>0</v>
      </c>
      <c r="T400" s="1074">
        <v>3223.05</v>
      </c>
      <c r="U400" s="1074">
        <v>0</v>
      </c>
      <c r="V400" s="1074">
        <v>0</v>
      </c>
      <c r="W400" s="1074">
        <v>3223.05</v>
      </c>
      <c r="X400" s="1074">
        <v>0</v>
      </c>
      <c r="Y400" s="1074">
        <v>0</v>
      </c>
      <c r="Z400" s="1074">
        <v>0</v>
      </c>
      <c r="AA400" s="1074">
        <v>0</v>
      </c>
      <c r="AB400" s="1074">
        <v>241.75</v>
      </c>
      <c r="AC400" s="1074">
        <v>0</v>
      </c>
      <c r="AD400" s="1074">
        <v>0</v>
      </c>
      <c r="AE400" s="1074">
        <v>1996000</v>
      </c>
      <c r="AF400" s="1074" t="s">
        <v>251</v>
      </c>
      <c r="AG400" s="1095">
        <f>VLOOKUP(B400,עזר!A$2:B$329,2,FALSE)</f>
        <v>23646.75</v>
      </c>
      <c r="AH400" s="1074">
        <f t="shared" ref="AH400:AH431" si="179">Q400*3</f>
        <v>10394.400000000001</v>
      </c>
      <c r="AI400" s="1074">
        <f t="shared" ref="AI400:AI431" si="180">AH400+AG400</f>
        <v>34041.15</v>
      </c>
      <c r="AJ400" s="1077">
        <f>VLOOKUP(B400,Sheet1!D$2:K$430,7,FALSE)</f>
        <v>0.36</v>
      </c>
      <c r="AK400" s="1074">
        <f>VLOOKUP(B400,Sheet1!D$2:L$430,8,FALSE)</f>
        <v>30147</v>
      </c>
      <c r="AL400" s="1109">
        <f t="shared" ref="AL400:AL409" si="181">O400</f>
        <v>0.36</v>
      </c>
      <c r="AM400" s="1074">
        <f t="shared" ref="AM400:AM409" si="182">AI400*1.02</f>
        <v>34721.973000000005</v>
      </c>
      <c r="AN400" s="1085">
        <f t="shared" ref="AN400:AN431" si="183">AL400</f>
        <v>0.36</v>
      </c>
      <c r="AO400" s="1074">
        <f t="shared" ref="AO400:AO431" si="184">AM400</f>
        <v>34721.973000000005</v>
      </c>
      <c r="AP400" s="1080"/>
    </row>
    <row r="401" spans="1:42" outlineLevel="2" x14ac:dyDescent="0.2">
      <c r="A401" s="1075">
        <v>506</v>
      </c>
      <c r="B401" s="1078">
        <v>2013203</v>
      </c>
      <c r="C401" s="1075">
        <v>20132031</v>
      </c>
      <c r="D401" s="1075" t="s">
        <v>1329</v>
      </c>
      <c r="E401" s="1075" t="s">
        <v>2326</v>
      </c>
      <c r="F401" s="1075">
        <v>996000</v>
      </c>
      <c r="G401" s="1075" t="s">
        <v>2107</v>
      </c>
      <c r="H401" s="1075">
        <v>90534</v>
      </c>
      <c r="I401" s="1075">
        <v>3</v>
      </c>
      <c r="J401" s="1075">
        <v>5</v>
      </c>
      <c r="K401" s="1075">
        <v>8</v>
      </c>
      <c r="L401" s="1075">
        <v>0</v>
      </c>
      <c r="M401" s="1075" t="s">
        <v>425</v>
      </c>
      <c r="N401" s="1075" t="s">
        <v>425</v>
      </c>
      <c r="O401" s="1077">
        <f t="shared" si="178"/>
        <v>0.42299999999999999</v>
      </c>
      <c r="P401" s="1075">
        <v>42.3</v>
      </c>
      <c r="Q401" s="1074">
        <v>4241.75</v>
      </c>
      <c r="R401" s="1074">
        <v>0</v>
      </c>
      <c r="S401" s="1074">
        <v>0</v>
      </c>
      <c r="T401" s="1074">
        <v>3945.8</v>
      </c>
      <c r="U401" s="1074">
        <v>0</v>
      </c>
      <c r="V401" s="1074">
        <v>0</v>
      </c>
      <c r="W401" s="1074">
        <v>3945.8</v>
      </c>
      <c r="X401" s="1074">
        <v>0</v>
      </c>
      <c r="Y401" s="1074">
        <v>0</v>
      </c>
      <c r="Z401" s="1074">
        <v>0</v>
      </c>
      <c r="AA401" s="1074">
        <v>0</v>
      </c>
      <c r="AB401" s="1074">
        <v>295.95</v>
      </c>
      <c r="AC401" s="1074">
        <v>0</v>
      </c>
      <c r="AD401" s="1074">
        <v>0</v>
      </c>
      <c r="AE401" s="1074">
        <v>1996000</v>
      </c>
      <c r="AF401" s="1074" t="s">
        <v>251</v>
      </c>
      <c r="AG401" s="1095">
        <f>VLOOKUP(B401,עזר!A$2:B$329,2,FALSE)</f>
        <v>28679.25</v>
      </c>
      <c r="AH401" s="1074">
        <f t="shared" si="179"/>
        <v>12725.25</v>
      </c>
      <c r="AI401" s="1074">
        <f t="shared" si="180"/>
        <v>41404.5</v>
      </c>
      <c r="AJ401" s="1077">
        <f>VLOOKUP(B401,Sheet1!D$2:K$430,7,FALSE)</f>
        <v>0.42299999999999999</v>
      </c>
      <c r="AK401" s="1074">
        <f>VLOOKUP(B401,Sheet1!D$2:L$430,8,FALSE)</f>
        <v>36633</v>
      </c>
      <c r="AL401" s="1109">
        <f t="shared" si="181"/>
        <v>0.42299999999999999</v>
      </c>
      <c r="AM401" s="1074">
        <f t="shared" si="182"/>
        <v>42232.590000000004</v>
      </c>
      <c r="AN401" s="1085">
        <f t="shared" si="183"/>
        <v>0.42299999999999999</v>
      </c>
      <c r="AO401" s="1074">
        <f t="shared" si="184"/>
        <v>42232.590000000004</v>
      </c>
      <c r="AP401" s="1080"/>
    </row>
    <row r="402" spans="1:42" outlineLevel="2" x14ac:dyDescent="0.2">
      <c r="A402" s="1075">
        <v>506</v>
      </c>
      <c r="B402" s="1078">
        <v>2013214</v>
      </c>
      <c r="C402" s="1075">
        <v>20132148</v>
      </c>
      <c r="D402" s="1075" t="s">
        <v>1390</v>
      </c>
      <c r="E402" s="1075" t="s">
        <v>2327</v>
      </c>
      <c r="F402" s="1075">
        <v>996000</v>
      </c>
      <c r="G402" s="1075" t="s">
        <v>2107</v>
      </c>
      <c r="H402" s="1075">
        <v>90534</v>
      </c>
      <c r="I402" s="1075">
        <v>3</v>
      </c>
      <c r="J402" s="1075">
        <v>5</v>
      </c>
      <c r="K402" s="1075">
        <v>8</v>
      </c>
      <c r="L402" s="1075">
        <v>0</v>
      </c>
      <c r="M402" s="1075" t="s">
        <v>425</v>
      </c>
      <c r="N402" s="1075" t="s">
        <v>425</v>
      </c>
      <c r="O402" s="1077">
        <f t="shared" si="178"/>
        <v>0.18600000000000003</v>
      </c>
      <c r="P402" s="1075">
        <v>18.600000000000001</v>
      </c>
      <c r="Q402" s="1074">
        <v>1116.3499999999999</v>
      </c>
      <c r="R402" s="1074">
        <v>0</v>
      </c>
      <c r="S402" s="1074">
        <v>0</v>
      </c>
      <c r="T402" s="1074">
        <v>1038.45</v>
      </c>
      <c r="U402" s="1074">
        <v>0</v>
      </c>
      <c r="V402" s="1074">
        <v>0</v>
      </c>
      <c r="W402" s="1074">
        <v>1038.45</v>
      </c>
      <c r="X402" s="1074">
        <v>0</v>
      </c>
      <c r="Y402" s="1074">
        <v>0</v>
      </c>
      <c r="Z402" s="1074">
        <v>0</v>
      </c>
      <c r="AA402" s="1074">
        <v>0</v>
      </c>
      <c r="AB402" s="1074">
        <v>77.900000000000006</v>
      </c>
      <c r="AC402" s="1074">
        <v>0</v>
      </c>
      <c r="AD402" s="1074">
        <v>0</v>
      </c>
      <c r="AE402" s="1074">
        <v>1996000</v>
      </c>
      <c r="AF402" s="1074" t="s">
        <v>251</v>
      </c>
      <c r="AG402" s="1095">
        <f>VLOOKUP(B402,עזר!A$2:B$329,2,FALSE)</f>
        <v>11288.7</v>
      </c>
      <c r="AH402" s="1074">
        <f t="shared" si="179"/>
        <v>3349.0499999999997</v>
      </c>
      <c r="AI402" s="1074">
        <f t="shared" si="180"/>
        <v>14637.75</v>
      </c>
      <c r="AJ402" s="1077">
        <f>VLOOKUP(B402,Sheet1!D$2:K$430,7,FALSE)</f>
        <v>0.186</v>
      </c>
      <c r="AK402" s="1074">
        <f>VLOOKUP(B402,Sheet1!D$2:L$430,8,FALSE)</f>
        <v>14637</v>
      </c>
      <c r="AL402" s="1109">
        <f t="shared" si="181"/>
        <v>0.18600000000000003</v>
      </c>
      <c r="AM402" s="1074">
        <f t="shared" si="182"/>
        <v>14930.505000000001</v>
      </c>
      <c r="AN402" s="1085">
        <f t="shared" si="183"/>
        <v>0.18600000000000003</v>
      </c>
      <c r="AO402" s="1074">
        <f t="shared" si="184"/>
        <v>14930.505000000001</v>
      </c>
      <c r="AP402" s="1080"/>
    </row>
    <row r="403" spans="1:42" outlineLevel="2" x14ac:dyDescent="0.2">
      <c r="A403" s="1075">
        <v>506</v>
      </c>
      <c r="B403" s="1078">
        <v>2016633</v>
      </c>
      <c r="C403" s="1075">
        <v>20166336</v>
      </c>
      <c r="D403" s="1075" t="s">
        <v>2328</v>
      </c>
      <c r="E403" s="1075" t="s">
        <v>2329</v>
      </c>
      <c r="F403" s="1075">
        <v>996000</v>
      </c>
      <c r="G403" s="1075" t="s">
        <v>2107</v>
      </c>
      <c r="H403" s="1075">
        <v>90534</v>
      </c>
      <c r="I403" s="1075">
        <v>3</v>
      </c>
      <c r="J403" s="1075">
        <v>5</v>
      </c>
      <c r="K403" s="1075">
        <v>8</v>
      </c>
      <c r="L403" s="1075">
        <v>0</v>
      </c>
      <c r="M403" s="1075" t="s">
        <v>425</v>
      </c>
      <c r="N403" s="1075" t="s">
        <v>425</v>
      </c>
      <c r="O403" s="1077">
        <f t="shared" si="178"/>
        <v>0.22399999999999998</v>
      </c>
      <c r="P403" s="1075">
        <v>22.4</v>
      </c>
      <c r="Q403" s="1074">
        <v>1246.9000000000001</v>
      </c>
      <c r="R403" s="1074">
        <v>0</v>
      </c>
      <c r="S403" s="1074">
        <v>0</v>
      </c>
      <c r="T403" s="1074">
        <v>1159.9000000000001</v>
      </c>
      <c r="U403" s="1074">
        <v>0</v>
      </c>
      <c r="V403" s="1074">
        <v>0</v>
      </c>
      <c r="W403" s="1074">
        <v>1159.9000000000001</v>
      </c>
      <c r="X403" s="1074">
        <v>0</v>
      </c>
      <c r="Y403" s="1074">
        <v>0</v>
      </c>
      <c r="Z403" s="1074">
        <v>0</v>
      </c>
      <c r="AA403" s="1074">
        <v>0</v>
      </c>
      <c r="AB403" s="1074">
        <v>87</v>
      </c>
      <c r="AC403" s="1074">
        <v>0</v>
      </c>
      <c r="AD403" s="1074">
        <v>0</v>
      </c>
      <c r="AE403" s="1074">
        <v>1996000</v>
      </c>
      <c r="AF403" s="1074" t="s">
        <v>251</v>
      </c>
      <c r="AG403" s="1095">
        <f>VLOOKUP(B403,עזר!A$2:B$329,2,FALSE)</f>
        <v>12717.25</v>
      </c>
      <c r="AH403" s="1074">
        <f t="shared" si="179"/>
        <v>3740.7000000000003</v>
      </c>
      <c r="AI403" s="1074">
        <f t="shared" si="180"/>
        <v>16457.95</v>
      </c>
      <c r="AJ403" s="1077">
        <f>VLOOKUP(B403,Sheet1!D$2:K$430,7,FALSE)</f>
        <v>0.224</v>
      </c>
      <c r="AK403" s="1074">
        <f>VLOOKUP(B403,Sheet1!D$2:L$430,8,FALSE)</f>
        <v>16458</v>
      </c>
      <c r="AL403" s="1109">
        <f t="shared" si="181"/>
        <v>0.22399999999999998</v>
      </c>
      <c r="AM403" s="1074">
        <f t="shared" si="182"/>
        <v>16787.109</v>
      </c>
      <c r="AN403" s="1085">
        <f t="shared" si="183"/>
        <v>0.22399999999999998</v>
      </c>
      <c r="AO403" s="1074">
        <f t="shared" si="184"/>
        <v>16787.109</v>
      </c>
      <c r="AP403" s="1080"/>
    </row>
    <row r="404" spans="1:42" outlineLevel="2" x14ac:dyDescent="0.2">
      <c r="A404" s="1075">
        <v>506</v>
      </c>
      <c r="B404" s="1078">
        <v>2016799</v>
      </c>
      <c r="C404" s="1075">
        <v>20167995</v>
      </c>
      <c r="D404" s="1075" t="s">
        <v>2155</v>
      </c>
      <c r="E404" s="1075" t="s">
        <v>2330</v>
      </c>
      <c r="F404" s="1075">
        <v>996000</v>
      </c>
      <c r="G404" s="1075" t="s">
        <v>2107</v>
      </c>
      <c r="H404" s="1075">
        <v>90534</v>
      </c>
      <c r="I404" s="1075">
        <v>3</v>
      </c>
      <c r="J404" s="1075">
        <v>5</v>
      </c>
      <c r="K404" s="1075">
        <v>41</v>
      </c>
      <c r="L404" s="1075">
        <v>0</v>
      </c>
      <c r="M404" s="1075" t="s">
        <v>425</v>
      </c>
      <c r="N404" s="1075" t="s">
        <v>425</v>
      </c>
      <c r="O404" s="1077">
        <f t="shared" si="178"/>
        <v>0.44</v>
      </c>
      <c r="P404" s="1075">
        <v>44</v>
      </c>
      <c r="Q404" s="1074">
        <v>3736.4</v>
      </c>
      <c r="R404" s="1074">
        <v>0</v>
      </c>
      <c r="S404" s="1074">
        <v>0</v>
      </c>
      <c r="T404" s="1074">
        <v>3475.7</v>
      </c>
      <c r="U404" s="1074">
        <v>0</v>
      </c>
      <c r="V404" s="1074">
        <v>0</v>
      </c>
      <c r="W404" s="1074">
        <v>3475.7</v>
      </c>
      <c r="X404" s="1074">
        <v>0</v>
      </c>
      <c r="Y404" s="1074">
        <v>0</v>
      </c>
      <c r="Z404" s="1074">
        <v>0</v>
      </c>
      <c r="AA404" s="1074">
        <v>0</v>
      </c>
      <c r="AB404" s="1074">
        <v>260.7</v>
      </c>
      <c r="AC404" s="1074">
        <v>0</v>
      </c>
      <c r="AD404" s="1074">
        <v>0</v>
      </c>
      <c r="AE404" s="1074">
        <v>1996000</v>
      </c>
      <c r="AF404" s="1074" t="s">
        <v>251</v>
      </c>
      <c r="AG404" s="1095">
        <f>VLOOKUP(B404,עזר!A$2:B$329,2,FALSE)</f>
        <v>36985.9</v>
      </c>
      <c r="AH404" s="1074">
        <f t="shared" si="179"/>
        <v>11209.2</v>
      </c>
      <c r="AI404" s="1074">
        <f t="shared" si="180"/>
        <v>48195.100000000006</v>
      </c>
      <c r="AJ404" s="1077">
        <f>VLOOKUP(B404,Sheet1!D$2:K$430,7,FALSE)</f>
        <v>0.44</v>
      </c>
      <c r="AK404" s="1074">
        <f>VLOOKUP(B404,Sheet1!D$2:L$430,8,FALSE)</f>
        <v>48195</v>
      </c>
      <c r="AL404" s="1109">
        <f t="shared" si="181"/>
        <v>0.44</v>
      </c>
      <c r="AM404" s="1074">
        <f t="shared" si="182"/>
        <v>49159.002000000008</v>
      </c>
      <c r="AN404" s="1085">
        <f t="shared" si="183"/>
        <v>0.44</v>
      </c>
      <c r="AO404" s="1074">
        <f t="shared" si="184"/>
        <v>49159.002000000008</v>
      </c>
      <c r="AP404" s="1080"/>
    </row>
    <row r="405" spans="1:42" outlineLevel="2" x14ac:dyDescent="0.2">
      <c r="A405" s="1075">
        <v>506</v>
      </c>
      <c r="B405" s="1078">
        <v>2016851</v>
      </c>
      <c r="C405" s="1075">
        <v>20168514</v>
      </c>
      <c r="D405" s="1075" t="s">
        <v>2216</v>
      </c>
      <c r="E405" s="1075" t="s">
        <v>2331</v>
      </c>
      <c r="F405" s="1075">
        <v>996000</v>
      </c>
      <c r="G405" s="1075" t="s">
        <v>2107</v>
      </c>
      <c r="H405" s="1075">
        <v>90534</v>
      </c>
      <c r="I405" s="1075">
        <v>3</v>
      </c>
      <c r="J405" s="1075">
        <v>3</v>
      </c>
      <c r="K405" s="1075">
        <v>2</v>
      </c>
      <c r="L405" s="1075">
        <v>0</v>
      </c>
      <c r="M405" s="1075" t="s">
        <v>425</v>
      </c>
      <c r="N405" s="1075" t="s">
        <v>425</v>
      </c>
      <c r="O405" s="1077">
        <f t="shared" si="178"/>
        <v>0.40299999999999997</v>
      </c>
      <c r="P405" s="1075">
        <v>40.299999999999997</v>
      </c>
      <c r="Q405" s="1074">
        <v>3852.6</v>
      </c>
      <c r="R405" s="1074">
        <v>0</v>
      </c>
      <c r="S405" s="1074">
        <v>0</v>
      </c>
      <c r="T405" s="1074">
        <v>3583.8</v>
      </c>
      <c r="U405" s="1074">
        <v>0</v>
      </c>
      <c r="V405" s="1074">
        <v>0</v>
      </c>
      <c r="W405" s="1074">
        <v>3583.8</v>
      </c>
      <c r="X405" s="1074">
        <v>0</v>
      </c>
      <c r="Y405" s="1074">
        <v>0</v>
      </c>
      <c r="Z405" s="1074">
        <v>0</v>
      </c>
      <c r="AA405" s="1074">
        <v>0</v>
      </c>
      <c r="AB405" s="1074">
        <v>268.8</v>
      </c>
      <c r="AC405" s="1074">
        <v>0</v>
      </c>
      <c r="AD405" s="1074">
        <v>0</v>
      </c>
      <c r="AE405" s="1074">
        <v>1996000</v>
      </c>
      <c r="AF405" s="1074" t="s">
        <v>251</v>
      </c>
      <c r="AG405" s="1095">
        <f>VLOOKUP(B405,עזר!A$2:B$329,2,FALSE)</f>
        <v>37672.949999999997</v>
      </c>
      <c r="AH405" s="1074">
        <f t="shared" si="179"/>
        <v>11557.8</v>
      </c>
      <c r="AI405" s="1074">
        <f t="shared" si="180"/>
        <v>49230.75</v>
      </c>
      <c r="AJ405" s="1077">
        <f>VLOOKUP(B405,Sheet1!D$2:K$430,7,FALSE)</f>
        <v>0.40300000000000002</v>
      </c>
      <c r="AK405" s="1074">
        <f>VLOOKUP(B405,Sheet1!D$2:L$430,8,FALSE)</f>
        <v>49037</v>
      </c>
      <c r="AL405" s="1109">
        <f t="shared" si="181"/>
        <v>0.40299999999999997</v>
      </c>
      <c r="AM405" s="1074">
        <f t="shared" si="182"/>
        <v>50215.364999999998</v>
      </c>
      <c r="AN405" s="1085">
        <f t="shared" si="183"/>
        <v>0.40299999999999997</v>
      </c>
      <c r="AO405" s="1074">
        <f t="shared" si="184"/>
        <v>50215.364999999998</v>
      </c>
      <c r="AP405" s="1080"/>
    </row>
    <row r="406" spans="1:42" outlineLevel="2" x14ac:dyDescent="0.2">
      <c r="A406" s="1075">
        <v>506</v>
      </c>
      <c r="B406" s="1078">
        <v>2016883</v>
      </c>
      <c r="C406" s="1075">
        <v>20168837</v>
      </c>
      <c r="D406" s="1075" t="s">
        <v>1390</v>
      </c>
      <c r="E406" s="1075" t="s">
        <v>2272</v>
      </c>
      <c r="F406" s="1075">
        <v>996000</v>
      </c>
      <c r="G406" s="1075" t="s">
        <v>2107</v>
      </c>
      <c r="H406" s="1075">
        <v>90534</v>
      </c>
      <c r="I406" s="1075">
        <v>3</v>
      </c>
      <c r="J406" s="1075">
        <v>5</v>
      </c>
      <c r="K406" s="1075">
        <v>36</v>
      </c>
      <c r="L406" s="1075">
        <v>0</v>
      </c>
      <c r="M406" s="1075" t="s">
        <v>425</v>
      </c>
      <c r="N406" s="1075" t="s">
        <v>425</v>
      </c>
      <c r="O406" s="1077">
        <f t="shared" si="178"/>
        <v>0.45200000000000001</v>
      </c>
      <c r="P406" s="1075">
        <v>45.2</v>
      </c>
      <c r="Q406" s="1074">
        <v>2647.75</v>
      </c>
      <c r="R406" s="1074">
        <v>0</v>
      </c>
      <c r="S406" s="1074">
        <v>0</v>
      </c>
      <c r="T406" s="1074">
        <v>2463</v>
      </c>
      <c r="U406" s="1074">
        <v>0</v>
      </c>
      <c r="V406" s="1074">
        <v>0</v>
      </c>
      <c r="W406" s="1074">
        <v>2463</v>
      </c>
      <c r="X406" s="1074">
        <v>0</v>
      </c>
      <c r="Y406" s="1074">
        <v>0</v>
      </c>
      <c r="Z406" s="1074">
        <v>0</v>
      </c>
      <c r="AA406" s="1074">
        <v>0</v>
      </c>
      <c r="AB406" s="1074">
        <v>184.75</v>
      </c>
      <c r="AC406" s="1074">
        <v>0</v>
      </c>
      <c r="AD406" s="1074">
        <v>0</v>
      </c>
      <c r="AE406" s="1074">
        <v>1996000</v>
      </c>
      <c r="AF406" s="1074" t="s">
        <v>251</v>
      </c>
      <c r="AG406" s="1095">
        <f>VLOOKUP(B406,עזר!A$2:B$329,2,FALSE)</f>
        <v>27070.2</v>
      </c>
      <c r="AH406" s="1074">
        <f t="shared" si="179"/>
        <v>7943.25</v>
      </c>
      <c r="AI406" s="1074">
        <f t="shared" si="180"/>
        <v>35013.449999999997</v>
      </c>
      <c r="AJ406" s="1077">
        <f>VLOOKUP(B406,Sheet1!D$2:K$430,7,FALSE)</f>
        <v>0.45</v>
      </c>
      <c r="AK406" s="1074">
        <f>VLOOKUP(B406,Sheet1!D$2:L$430,8,FALSE)</f>
        <v>35014</v>
      </c>
      <c r="AL406" s="1109">
        <f t="shared" si="181"/>
        <v>0.45200000000000001</v>
      </c>
      <c r="AM406" s="1074">
        <f t="shared" si="182"/>
        <v>35713.718999999997</v>
      </c>
      <c r="AN406" s="1085">
        <f t="shared" si="183"/>
        <v>0.45200000000000001</v>
      </c>
      <c r="AO406" s="1074">
        <f t="shared" si="184"/>
        <v>35713.718999999997</v>
      </c>
      <c r="AP406" s="1080"/>
    </row>
    <row r="407" spans="1:42" outlineLevel="2" x14ac:dyDescent="0.2">
      <c r="A407" s="1075">
        <v>506</v>
      </c>
      <c r="B407" s="1078">
        <v>2016962</v>
      </c>
      <c r="C407" s="1075">
        <v>20169629</v>
      </c>
      <c r="D407" s="1075" t="s">
        <v>1374</v>
      </c>
      <c r="E407" s="1075" t="s">
        <v>2332</v>
      </c>
      <c r="F407" s="1075">
        <v>996000</v>
      </c>
      <c r="G407" s="1075" t="s">
        <v>2107</v>
      </c>
      <c r="H407" s="1075">
        <v>90534</v>
      </c>
      <c r="I407" s="1075">
        <v>3</v>
      </c>
      <c r="J407" s="1075">
        <v>11</v>
      </c>
      <c r="K407" s="1075">
        <v>2</v>
      </c>
      <c r="L407" s="1075">
        <v>0</v>
      </c>
      <c r="M407" s="1075" t="s">
        <v>425</v>
      </c>
      <c r="N407" s="1075" t="s">
        <v>425</v>
      </c>
      <c r="O407" s="1077">
        <f t="shared" si="178"/>
        <v>0.18</v>
      </c>
      <c r="P407" s="1075">
        <v>18</v>
      </c>
      <c r="Q407" s="1074">
        <v>6998.05</v>
      </c>
      <c r="R407" s="1074">
        <v>0</v>
      </c>
      <c r="S407" s="1074">
        <v>0</v>
      </c>
      <c r="T407" s="1074">
        <v>6509.8</v>
      </c>
      <c r="U407" s="1074">
        <v>0</v>
      </c>
      <c r="V407" s="1074">
        <v>0</v>
      </c>
      <c r="W407" s="1074">
        <v>6509.8</v>
      </c>
      <c r="X407" s="1074">
        <v>0</v>
      </c>
      <c r="Y407" s="1074">
        <v>0</v>
      </c>
      <c r="Z407" s="1074">
        <v>0</v>
      </c>
      <c r="AA407" s="1074">
        <v>0</v>
      </c>
      <c r="AB407" s="1074">
        <v>488.25</v>
      </c>
      <c r="AC407" s="1074">
        <v>0</v>
      </c>
      <c r="AD407" s="1074">
        <v>0</v>
      </c>
      <c r="AE407" s="1074">
        <v>1996000</v>
      </c>
      <c r="AF407" s="1074" t="s">
        <v>251</v>
      </c>
      <c r="AG407" s="1095">
        <f>VLOOKUP(B407,עזר!A$2:B$329,2,FALSE)</f>
        <v>62982.45</v>
      </c>
      <c r="AH407" s="1074">
        <f t="shared" si="179"/>
        <v>20994.15</v>
      </c>
      <c r="AI407" s="1074">
        <f t="shared" si="180"/>
        <v>83976.6</v>
      </c>
      <c r="AJ407" s="1077">
        <f>VLOOKUP(B407,Sheet1!D$2:K$430,7,FALSE)</f>
        <v>0.18</v>
      </c>
      <c r="AK407" s="1074">
        <f>VLOOKUP(B407,Sheet1!D$2:L$430,8,FALSE)</f>
        <v>83977</v>
      </c>
      <c r="AL407" s="1109">
        <f t="shared" si="181"/>
        <v>0.18</v>
      </c>
      <c r="AM407" s="1074">
        <f t="shared" si="182"/>
        <v>85656.132000000012</v>
      </c>
      <c r="AN407" s="1085">
        <f t="shared" si="183"/>
        <v>0.18</v>
      </c>
      <c r="AO407" s="1074">
        <f t="shared" si="184"/>
        <v>85656.132000000012</v>
      </c>
      <c r="AP407" s="1080"/>
    </row>
    <row r="408" spans="1:42" outlineLevel="2" x14ac:dyDescent="0.2">
      <c r="A408" s="1075">
        <v>506</v>
      </c>
      <c r="B408" s="1078">
        <v>2016970</v>
      </c>
      <c r="C408" s="1075">
        <v>20169702</v>
      </c>
      <c r="D408" s="1075" t="s">
        <v>1709</v>
      </c>
      <c r="E408" s="1075" t="s">
        <v>2333</v>
      </c>
      <c r="F408" s="1075">
        <v>996000</v>
      </c>
      <c r="G408" s="1075" t="s">
        <v>2107</v>
      </c>
      <c r="H408" s="1075">
        <v>90534</v>
      </c>
      <c r="I408" s="1075">
        <v>3</v>
      </c>
      <c r="J408" s="1075">
        <v>5</v>
      </c>
      <c r="K408" s="1075">
        <v>7</v>
      </c>
      <c r="L408" s="1075">
        <v>0</v>
      </c>
      <c r="M408" s="1075" t="s">
        <v>425</v>
      </c>
      <c r="N408" s="1075" t="s">
        <v>425</v>
      </c>
      <c r="O408" s="1077">
        <f t="shared" si="178"/>
        <v>0.27300000000000002</v>
      </c>
      <c r="P408" s="1075">
        <v>27.3</v>
      </c>
      <c r="Q408" s="1074">
        <v>2763</v>
      </c>
      <c r="R408" s="1074">
        <v>0</v>
      </c>
      <c r="S408" s="1074">
        <v>0</v>
      </c>
      <c r="T408" s="1074">
        <v>2570.25</v>
      </c>
      <c r="U408" s="1074">
        <v>0</v>
      </c>
      <c r="V408" s="1074">
        <v>0</v>
      </c>
      <c r="W408" s="1074">
        <v>2570.25</v>
      </c>
      <c r="X408" s="1074">
        <v>0</v>
      </c>
      <c r="Y408" s="1074">
        <v>0</v>
      </c>
      <c r="Z408" s="1074">
        <v>0</v>
      </c>
      <c r="AA408" s="1074">
        <v>0</v>
      </c>
      <c r="AB408" s="1074">
        <v>192.75</v>
      </c>
      <c r="AC408" s="1074">
        <v>0</v>
      </c>
      <c r="AD408" s="1074">
        <v>0</v>
      </c>
      <c r="AE408" s="1074">
        <v>1996000</v>
      </c>
      <c r="AF408" s="1074" t="s">
        <v>251</v>
      </c>
      <c r="AG408" s="1095">
        <f>VLOOKUP(B408,עזר!A$2:B$329,2,FALSE)</f>
        <v>18479.400000000001</v>
      </c>
      <c r="AH408" s="1074">
        <f t="shared" si="179"/>
        <v>8289</v>
      </c>
      <c r="AI408" s="1074">
        <f t="shared" si="180"/>
        <v>26768.400000000001</v>
      </c>
      <c r="AJ408" s="1077">
        <f>VLOOKUP(B408,Sheet1!D$2:K$430,7,FALSE)</f>
        <v>0.27300000000000002</v>
      </c>
      <c r="AK408" s="1074">
        <f>VLOOKUP(B408,Sheet1!D$2:L$430,8,FALSE)</f>
        <v>23660</v>
      </c>
      <c r="AL408" s="1109">
        <f t="shared" si="181"/>
        <v>0.27300000000000002</v>
      </c>
      <c r="AM408" s="1074">
        <f t="shared" si="182"/>
        <v>27303.768000000004</v>
      </c>
      <c r="AN408" s="1085">
        <f t="shared" si="183"/>
        <v>0.27300000000000002</v>
      </c>
      <c r="AO408" s="1074">
        <f t="shared" si="184"/>
        <v>27303.768000000004</v>
      </c>
      <c r="AP408" s="1080"/>
    </row>
    <row r="409" spans="1:42" outlineLevel="2" x14ac:dyDescent="0.2">
      <c r="A409" s="1075">
        <v>506</v>
      </c>
      <c r="B409" s="1078">
        <v>2016977</v>
      </c>
      <c r="C409" s="1075">
        <v>20169777</v>
      </c>
      <c r="D409" s="1075" t="s">
        <v>1709</v>
      </c>
      <c r="E409" s="1075" t="s">
        <v>2334</v>
      </c>
      <c r="F409" s="1075">
        <v>996000</v>
      </c>
      <c r="G409" s="1075" t="s">
        <v>2107</v>
      </c>
      <c r="H409" s="1075">
        <v>90534</v>
      </c>
      <c r="I409" s="1075">
        <v>3</v>
      </c>
      <c r="J409" s="1075">
        <v>5</v>
      </c>
      <c r="K409" s="1075">
        <v>40</v>
      </c>
      <c r="L409" s="1075">
        <v>0</v>
      </c>
      <c r="M409" s="1075" t="s">
        <v>425</v>
      </c>
      <c r="N409" s="1075" t="s">
        <v>425</v>
      </c>
      <c r="O409" s="1077">
        <f t="shared" si="178"/>
        <v>0.46100000000000002</v>
      </c>
      <c r="P409" s="1075">
        <v>46.1</v>
      </c>
      <c r="Q409" s="1074">
        <v>5349.5</v>
      </c>
      <c r="R409" s="1074">
        <v>0</v>
      </c>
      <c r="S409" s="1074">
        <v>0</v>
      </c>
      <c r="T409" s="1074">
        <v>4976.3</v>
      </c>
      <c r="U409" s="1074">
        <v>0</v>
      </c>
      <c r="V409" s="1074">
        <v>0</v>
      </c>
      <c r="W409" s="1074">
        <v>4976.3</v>
      </c>
      <c r="X409" s="1074">
        <v>0</v>
      </c>
      <c r="Y409" s="1074">
        <v>0</v>
      </c>
      <c r="Z409" s="1074">
        <v>0</v>
      </c>
      <c r="AA409" s="1074">
        <v>0</v>
      </c>
      <c r="AB409" s="1074">
        <v>373.2</v>
      </c>
      <c r="AC409" s="1074">
        <v>0</v>
      </c>
      <c r="AD409" s="1074">
        <v>0</v>
      </c>
      <c r="AE409" s="1074">
        <v>1996000</v>
      </c>
      <c r="AF409" s="1074" t="s">
        <v>251</v>
      </c>
      <c r="AG409" s="1095">
        <f>VLOOKUP(B409,עזר!A$2:B$329,2,FALSE)</f>
        <v>35836.5</v>
      </c>
      <c r="AH409" s="1074">
        <f t="shared" si="179"/>
        <v>16048.5</v>
      </c>
      <c r="AI409" s="1074">
        <f t="shared" si="180"/>
        <v>51885</v>
      </c>
      <c r="AJ409" s="1077">
        <f>VLOOKUP(B409,Sheet1!D$2:K$430,7,FALSE)</f>
        <v>0.46</v>
      </c>
      <c r="AK409" s="1074">
        <f>VLOOKUP(B409,Sheet1!D$2:L$430,8,FALSE)</f>
        <v>45787</v>
      </c>
      <c r="AL409" s="1109">
        <f t="shared" si="181"/>
        <v>0.46100000000000002</v>
      </c>
      <c r="AM409" s="1074">
        <f t="shared" si="182"/>
        <v>52922.700000000004</v>
      </c>
      <c r="AN409" s="1085">
        <f t="shared" si="183"/>
        <v>0.46100000000000002</v>
      </c>
      <c r="AO409" s="1074">
        <f t="shared" si="184"/>
        <v>52922.700000000004</v>
      </c>
      <c r="AP409" s="1080"/>
    </row>
    <row r="410" spans="1:42" outlineLevel="2" x14ac:dyDescent="0.2">
      <c r="A410" s="1075">
        <v>506</v>
      </c>
      <c r="B410" s="1075">
        <v>2021112</v>
      </c>
      <c r="C410" s="1075">
        <v>20211124</v>
      </c>
      <c r="D410" s="1075" t="s">
        <v>1419</v>
      </c>
      <c r="E410" s="1075" t="s">
        <v>2437</v>
      </c>
      <c r="F410" s="1075">
        <v>996000</v>
      </c>
      <c r="G410" s="1075" t="s">
        <v>2384</v>
      </c>
      <c r="H410" s="1075">
        <v>90534</v>
      </c>
      <c r="I410" s="1075">
        <v>3</v>
      </c>
      <c r="J410" s="1075">
        <v>5</v>
      </c>
      <c r="K410" s="1075">
        <v>10</v>
      </c>
      <c r="L410" s="1075">
        <v>0</v>
      </c>
      <c r="M410" s="1075" t="s">
        <v>425</v>
      </c>
      <c r="N410" s="1075" t="s">
        <v>425</v>
      </c>
      <c r="O410" s="1077">
        <f>366.2/900</f>
        <v>0.40688888888888886</v>
      </c>
      <c r="Q410" s="1074">
        <v>0</v>
      </c>
      <c r="R410" s="1074"/>
      <c r="S410" s="1074"/>
      <c r="T410" s="1074"/>
      <c r="U410" s="1074"/>
      <c r="V410" s="1074"/>
      <c r="W410" s="1074"/>
      <c r="X410" s="1074"/>
      <c r="Y410" s="1074"/>
      <c r="Z410" s="1074"/>
      <c r="AA410" s="1074"/>
      <c r="AB410" s="1074"/>
      <c r="AC410" s="1074"/>
      <c r="AD410" s="1074"/>
      <c r="AE410" s="1074"/>
      <c r="AF410" s="1074"/>
      <c r="AG410" s="1095">
        <f>VLOOKUP(B410,עזר!A$2:B$329,2,FALSE)</f>
        <v>34069.5</v>
      </c>
      <c r="AH410" s="1074">
        <f t="shared" si="179"/>
        <v>0</v>
      </c>
      <c r="AI410" s="1074">
        <f t="shared" si="180"/>
        <v>34069.5</v>
      </c>
      <c r="AJ410" s="1077">
        <f>VLOOKUP(B410,Sheet1!D$2:K$430,7,FALSE)</f>
        <v>0.67</v>
      </c>
      <c r="AK410" s="1074">
        <f>VLOOKUP(B410,Sheet1!D$2:L$430,8,FALSE)</f>
        <v>73615</v>
      </c>
      <c r="AL410" s="1109">
        <v>0</v>
      </c>
      <c r="AM410" s="1074">
        <v>0</v>
      </c>
      <c r="AN410" s="1085">
        <f t="shared" si="183"/>
        <v>0</v>
      </c>
      <c r="AO410" s="1074">
        <f t="shared" si="184"/>
        <v>0</v>
      </c>
      <c r="AP410" s="1080"/>
    </row>
    <row r="411" spans="1:42" outlineLevel="2" x14ac:dyDescent="0.2">
      <c r="A411" s="1075">
        <v>506</v>
      </c>
      <c r="B411" s="1078">
        <v>2021139</v>
      </c>
      <c r="C411" s="1075">
        <v>20211397</v>
      </c>
      <c r="D411" s="1075" t="s">
        <v>1419</v>
      </c>
      <c r="E411" s="1075" t="s">
        <v>2335</v>
      </c>
      <c r="F411" s="1075">
        <v>996000</v>
      </c>
      <c r="G411" s="1075" t="s">
        <v>2107</v>
      </c>
      <c r="H411" s="1075">
        <v>90534</v>
      </c>
      <c r="I411" s="1075">
        <v>3</v>
      </c>
      <c r="J411" s="1075">
        <v>5</v>
      </c>
      <c r="K411" s="1075">
        <v>5</v>
      </c>
      <c r="L411" s="1075">
        <v>0</v>
      </c>
      <c r="M411" s="1075" t="s">
        <v>425</v>
      </c>
      <c r="N411" s="1075" t="s">
        <v>425</v>
      </c>
      <c r="O411" s="1077">
        <f>P411/100</f>
        <v>0.32</v>
      </c>
      <c r="P411" s="1075">
        <v>32</v>
      </c>
      <c r="Q411" s="1074">
        <v>1777.1</v>
      </c>
      <c r="R411" s="1074">
        <v>0</v>
      </c>
      <c r="S411" s="1074">
        <v>0</v>
      </c>
      <c r="T411" s="1074">
        <v>1653.1</v>
      </c>
      <c r="U411" s="1074">
        <v>0</v>
      </c>
      <c r="V411" s="1074">
        <v>0</v>
      </c>
      <c r="W411" s="1074">
        <v>1653.1</v>
      </c>
      <c r="X411" s="1074">
        <v>0</v>
      </c>
      <c r="Y411" s="1074">
        <v>0</v>
      </c>
      <c r="Z411" s="1074">
        <v>0</v>
      </c>
      <c r="AA411" s="1074">
        <v>0</v>
      </c>
      <c r="AB411" s="1074">
        <v>124</v>
      </c>
      <c r="AC411" s="1074">
        <v>0</v>
      </c>
      <c r="AD411" s="1074">
        <v>0</v>
      </c>
      <c r="AE411" s="1074">
        <v>1996000</v>
      </c>
      <c r="AF411" s="1074" t="s">
        <v>251</v>
      </c>
      <c r="AG411" s="1095">
        <f>VLOOKUP(B411,עזר!A$2:B$329,2,FALSE)</f>
        <v>17992.849999999999</v>
      </c>
      <c r="AH411" s="1074">
        <f t="shared" si="179"/>
        <v>5331.2999999999993</v>
      </c>
      <c r="AI411" s="1074">
        <f t="shared" si="180"/>
        <v>23324.149999999998</v>
      </c>
      <c r="AJ411" s="1077">
        <f>VLOOKUP(B411,Sheet1!D$2:K$430,7,FALSE)</f>
        <v>0.32</v>
      </c>
      <c r="AK411" s="1074">
        <f>VLOOKUP(B411,Sheet1!D$2:L$430,8,FALSE)</f>
        <v>23324</v>
      </c>
      <c r="AL411" s="1109">
        <f>O411</f>
        <v>0.32</v>
      </c>
      <c r="AM411" s="1074">
        <f>AI411*1.02</f>
        <v>23790.632999999998</v>
      </c>
      <c r="AN411" s="1085">
        <f t="shared" si="183"/>
        <v>0.32</v>
      </c>
      <c r="AO411" s="1074">
        <f t="shared" si="184"/>
        <v>23790.632999999998</v>
      </c>
      <c r="AP411" s="1080"/>
    </row>
    <row r="412" spans="1:42" outlineLevel="2" x14ac:dyDescent="0.2">
      <c r="A412" s="1075">
        <v>506</v>
      </c>
      <c r="B412" s="1078">
        <v>2021141</v>
      </c>
      <c r="C412" s="1075">
        <v>20211413</v>
      </c>
      <c r="D412" s="1075" t="s">
        <v>2208</v>
      </c>
      <c r="E412" s="1075" t="s">
        <v>2336</v>
      </c>
      <c r="F412" s="1075">
        <v>996000</v>
      </c>
      <c r="G412" s="1075" t="s">
        <v>2107</v>
      </c>
      <c r="H412" s="1075">
        <v>90534</v>
      </c>
      <c r="I412" s="1075">
        <v>3</v>
      </c>
      <c r="J412" s="1075">
        <v>5</v>
      </c>
      <c r="K412" s="1075">
        <v>13</v>
      </c>
      <c r="L412" s="1075">
        <v>0</v>
      </c>
      <c r="M412" s="1075" t="s">
        <v>425</v>
      </c>
      <c r="N412" s="1075" t="s">
        <v>425</v>
      </c>
      <c r="O412" s="1077">
        <f>P412/100</f>
        <v>0.67</v>
      </c>
      <c r="P412" s="1075">
        <v>67</v>
      </c>
      <c r="Q412" s="1074">
        <v>13432.15</v>
      </c>
      <c r="R412" s="1074">
        <v>0</v>
      </c>
      <c r="S412" s="1074">
        <v>0</v>
      </c>
      <c r="T412" s="1074">
        <v>12495</v>
      </c>
      <c r="U412" s="1074">
        <v>0</v>
      </c>
      <c r="V412" s="1074">
        <v>0</v>
      </c>
      <c r="W412" s="1074">
        <v>12495</v>
      </c>
      <c r="X412" s="1074">
        <v>0</v>
      </c>
      <c r="Y412" s="1074">
        <v>0</v>
      </c>
      <c r="Z412" s="1074">
        <v>0</v>
      </c>
      <c r="AA412" s="1074">
        <v>0</v>
      </c>
      <c r="AB412" s="1074">
        <v>937.15</v>
      </c>
      <c r="AC412" s="1074">
        <v>0</v>
      </c>
      <c r="AD412" s="1074">
        <v>0</v>
      </c>
      <c r="AE412" s="1074">
        <v>1996000</v>
      </c>
      <c r="AF412" s="1074" t="s">
        <v>251</v>
      </c>
      <c r="AG412" s="1095">
        <f>VLOOKUP(B412,עזר!A$2:B$329,2,FALSE)</f>
        <v>86348.5</v>
      </c>
      <c r="AH412" s="1074">
        <f t="shared" si="179"/>
        <v>40296.449999999997</v>
      </c>
      <c r="AI412" s="1074">
        <f t="shared" si="180"/>
        <v>126644.95</v>
      </c>
      <c r="AJ412" s="1077">
        <f>VLOOKUP(B412,Sheet1!D$2:K$430,7,FALSE)</f>
        <v>0.67</v>
      </c>
      <c r="AK412" s="1074">
        <f>VLOOKUP(B412,Sheet1!D$2:L$430,8,FALSE)</f>
        <v>111533</v>
      </c>
      <c r="AL412" s="1109">
        <f>O412</f>
        <v>0.67</v>
      </c>
      <c r="AM412" s="1074">
        <f>AI412*1.02</f>
        <v>129177.849</v>
      </c>
      <c r="AN412" s="1085">
        <f t="shared" si="183"/>
        <v>0.67</v>
      </c>
      <c r="AO412" s="1074">
        <f t="shared" si="184"/>
        <v>129177.849</v>
      </c>
      <c r="AP412" s="1080"/>
    </row>
    <row r="413" spans="1:42" outlineLevel="2" x14ac:dyDescent="0.2">
      <c r="A413" s="1075">
        <v>506</v>
      </c>
      <c r="B413" s="1078">
        <v>2021217</v>
      </c>
      <c r="C413" s="1075">
        <v>20212171</v>
      </c>
      <c r="D413" s="1075" t="s">
        <v>1390</v>
      </c>
      <c r="E413" s="1075" t="s">
        <v>2337</v>
      </c>
      <c r="F413" s="1075">
        <v>996000</v>
      </c>
      <c r="G413" s="1075" t="s">
        <v>2107</v>
      </c>
      <c r="H413" s="1075">
        <v>90534</v>
      </c>
      <c r="I413" s="1075">
        <v>3</v>
      </c>
      <c r="J413" s="1075">
        <v>11</v>
      </c>
      <c r="K413" s="1075">
        <v>1</v>
      </c>
      <c r="L413" s="1075">
        <v>0</v>
      </c>
      <c r="M413" s="1075" t="s">
        <v>425</v>
      </c>
      <c r="N413" s="1075" t="s">
        <v>425</v>
      </c>
      <c r="O413" s="1077">
        <f>P413/100</f>
        <v>0.38700000000000001</v>
      </c>
      <c r="P413" s="1075">
        <v>38.700000000000003</v>
      </c>
      <c r="Q413" s="1074">
        <v>15941.4</v>
      </c>
      <c r="R413" s="1074">
        <v>0</v>
      </c>
      <c r="S413" s="1074">
        <v>0</v>
      </c>
      <c r="T413" s="1074">
        <v>14829.2</v>
      </c>
      <c r="U413" s="1074">
        <v>0</v>
      </c>
      <c r="V413" s="1074">
        <v>0</v>
      </c>
      <c r="W413" s="1074">
        <v>14829.2</v>
      </c>
      <c r="X413" s="1074">
        <v>0</v>
      </c>
      <c r="Y413" s="1074">
        <v>0</v>
      </c>
      <c r="Z413" s="1074">
        <v>0</v>
      </c>
      <c r="AA413" s="1074">
        <v>0</v>
      </c>
      <c r="AB413" s="1074">
        <v>1112.2</v>
      </c>
      <c r="AC413" s="1074">
        <v>0</v>
      </c>
      <c r="AD413" s="1074">
        <v>0</v>
      </c>
      <c r="AE413" s="1074">
        <v>1996000</v>
      </c>
      <c r="AF413" s="1074" t="s">
        <v>251</v>
      </c>
      <c r="AG413" s="1095">
        <f>VLOOKUP(B413,עזר!A$2:B$329,2,FALSE)</f>
        <v>143472.6</v>
      </c>
      <c r="AH413" s="1074">
        <f t="shared" si="179"/>
        <v>47824.2</v>
      </c>
      <c r="AI413" s="1074">
        <f t="shared" si="180"/>
        <v>191296.8</v>
      </c>
      <c r="AJ413" s="1077">
        <f>VLOOKUP(B413,Sheet1!D$2:K$430,7,FALSE)</f>
        <v>0.38700000000000001</v>
      </c>
      <c r="AK413" s="1074">
        <f>VLOOKUP(B413,Sheet1!D$2:L$430,8,FALSE)</f>
        <v>191296</v>
      </c>
      <c r="AL413" s="1109">
        <f>O413</f>
        <v>0.38700000000000001</v>
      </c>
      <c r="AM413" s="1074">
        <f>AI413*1.02</f>
        <v>195122.736</v>
      </c>
      <c r="AN413" s="1085">
        <f t="shared" si="183"/>
        <v>0.38700000000000001</v>
      </c>
      <c r="AO413" s="1074">
        <f t="shared" si="184"/>
        <v>195122.736</v>
      </c>
      <c r="AP413" s="1080"/>
    </row>
    <row r="414" spans="1:42" outlineLevel="2" x14ac:dyDescent="0.2">
      <c r="A414" s="1075">
        <v>506</v>
      </c>
      <c r="B414" s="1078">
        <v>2021259</v>
      </c>
      <c r="C414" s="1075">
        <v>20212593</v>
      </c>
      <c r="D414" s="1075" t="s">
        <v>1419</v>
      </c>
      <c r="E414" s="1075" t="s">
        <v>2338</v>
      </c>
      <c r="F414" s="1075">
        <v>996000</v>
      </c>
      <c r="G414" s="1075" t="s">
        <v>2107</v>
      </c>
      <c r="H414" s="1075">
        <v>90534</v>
      </c>
      <c r="I414" s="1075">
        <v>3</v>
      </c>
      <c r="J414" s="1075">
        <v>5</v>
      </c>
      <c r="K414" s="1075">
        <v>10</v>
      </c>
      <c r="L414" s="1075">
        <v>0</v>
      </c>
      <c r="M414" s="1075" t="s">
        <v>425</v>
      </c>
      <c r="N414" s="1075" t="s">
        <v>425</v>
      </c>
      <c r="O414" s="1077">
        <f>P414/100</f>
        <v>0.26800000000000002</v>
      </c>
      <c r="P414" s="1075">
        <v>26.8</v>
      </c>
      <c r="Q414" s="1074">
        <v>2192.09</v>
      </c>
      <c r="R414" s="1074">
        <v>0</v>
      </c>
      <c r="S414" s="1074">
        <v>0</v>
      </c>
      <c r="T414" s="1074">
        <v>2039.14</v>
      </c>
      <c r="U414" s="1074">
        <v>0</v>
      </c>
      <c r="V414" s="1074">
        <v>0</v>
      </c>
      <c r="W414" s="1074">
        <v>2039.14</v>
      </c>
      <c r="X414" s="1074">
        <v>0</v>
      </c>
      <c r="Y414" s="1074">
        <v>0</v>
      </c>
      <c r="Z414" s="1074">
        <v>0</v>
      </c>
      <c r="AA414" s="1074">
        <v>0</v>
      </c>
      <c r="AB414" s="1074">
        <v>152.94999999999999</v>
      </c>
      <c r="AC414" s="1074">
        <v>0</v>
      </c>
      <c r="AD414" s="1074">
        <v>0</v>
      </c>
      <c r="AE414" s="1074">
        <v>1996000</v>
      </c>
      <c r="AF414" s="1074" t="s">
        <v>251</v>
      </c>
      <c r="AG414" s="1095">
        <f>VLOOKUP(B414,עזר!A$2:B$329,2,FALSE)</f>
        <v>7742.46</v>
      </c>
      <c r="AH414" s="1074">
        <f t="shared" si="179"/>
        <v>6576.27</v>
      </c>
      <c r="AI414" s="1074">
        <f t="shared" si="180"/>
        <v>14318.73</v>
      </c>
      <c r="AJ414" s="1077">
        <v>0</v>
      </c>
      <c r="AK414" s="1074">
        <v>0</v>
      </c>
      <c r="AL414" s="1109">
        <f>O414</f>
        <v>0.26800000000000002</v>
      </c>
      <c r="AM414" s="1074">
        <f>AI414*1.02</f>
        <v>14605.104600000001</v>
      </c>
      <c r="AN414" s="1085">
        <f t="shared" si="183"/>
        <v>0.26800000000000002</v>
      </c>
      <c r="AO414" s="1074">
        <f t="shared" si="184"/>
        <v>14605.104600000001</v>
      </c>
      <c r="AP414" s="1080"/>
    </row>
    <row r="415" spans="1:42" outlineLevel="2" x14ac:dyDescent="0.2">
      <c r="A415" s="1075">
        <v>506</v>
      </c>
      <c r="B415" s="1075">
        <v>2021321</v>
      </c>
      <c r="C415" s="1075">
        <v>20213211</v>
      </c>
      <c r="D415" s="1075" t="s">
        <v>2138</v>
      </c>
      <c r="E415" s="1075" t="s">
        <v>2372</v>
      </c>
      <c r="F415" s="1075">
        <v>996000</v>
      </c>
      <c r="G415" s="1075" t="s">
        <v>2384</v>
      </c>
      <c r="H415" s="1075">
        <v>90534</v>
      </c>
      <c r="I415" s="1075">
        <v>3</v>
      </c>
      <c r="J415" s="1075">
        <v>11</v>
      </c>
      <c r="K415" s="1075">
        <v>2</v>
      </c>
      <c r="L415" s="1075">
        <v>0</v>
      </c>
      <c r="M415" s="1075" t="s">
        <v>425</v>
      </c>
      <c r="N415" s="1075" t="s">
        <v>425</v>
      </c>
      <c r="O415" s="1077">
        <f>38.4/900</f>
        <v>4.2666666666666665E-2</v>
      </c>
      <c r="Q415" s="1074">
        <v>0</v>
      </c>
      <c r="R415" s="1074"/>
      <c r="S415" s="1074"/>
      <c r="T415" s="1074"/>
      <c r="U415" s="1074"/>
      <c r="V415" s="1074"/>
      <c r="W415" s="1074"/>
      <c r="X415" s="1074"/>
      <c r="Y415" s="1074"/>
      <c r="Z415" s="1074"/>
      <c r="AA415" s="1074"/>
      <c r="AB415" s="1074"/>
      <c r="AC415" s="1074"/>
      <c r="AD415" s="1074"/>
      <c r="AE415" s="1074"/>
      <c r="AF415" s="1074"/>
      <c r="AG415" s="1095">
        <f>VLOOKUP(B415,עזר!A$2:B$329,2,FALSE)</f>
        <v>14930.2</v>
      </c>
      <c r="AH415" s="1074">
        <f t="shared" si="179"/>
        <v>0</v>
      </c>
      <c r="AI415" s="1074">
        <f t="shared" si="180"/>
        <v>14930.2</v>
      </c>
      <c r="AJ415" s="1077">
        <f>VLOOKUP(B415,Sheet1!D$2:K$430,7,FALSE)</f>
        <v>0.192</v>
      </c>
      <c r="AK415" s="1074">
        <f>VLOOKUP(B415,Sheet1!D$2:L$430,8,FALSE)</f>
        <v>89582</v>
      </c>
      <c r="AL415" s="1109">
        <v>0</v>
      </c>
      <c r="AM415" s="1074">
        <v>0</v>
      </c>
      <c r="AN415" s="1085">
        <f t="shared" si="183"/>
        <v>0</v>
      </c>
      <c r="AO415" s="1074">
        <f t="shared" si="184"/>
        <v>0</v>
      </c>
      <c r="AP415" s="1080"/>
    </row>
    <row r="416" spans="1:42" outlineLevel="2" x14ac:dyDescent="0.2">
      <c r="A416" s="1075">
        <v>506</v>
      </c>
      <c r="B416" s="1078">
        <v>2021340</v>
      </c>
      <c r="C416" s="1075">
        <v>20213401</v>
      </c>
      <c r="D416" s="1075" t="s">
        <v>932</v>
      </c>
      <c r="E416" s="1075" t="s">
        <v>2339</v>
      </c>
      <c r="F416" s="1075">
        <v>996000</v>
      </c>
      <c r="G416" s="1075" t="s">
        <v>2107</v>
      </c>
      <c r="H416" s="1075">
        <v>90534</v>
      </c>
      <c r="I416" s="1075">
        <v>3</v>
      </c>
      <c r="J416" s="1075">
        <v>5</v>
      </c>
      <c r="K416" s="1075">
        <v>8</v>
      </c>
      <c r="L416" s="1075">
        <v>0</v>
      </c>
      <c r="M416" s="1075" t="s">
        <v>425</v>
      </c>
      <c r="N416" s="1075" t="s">
        <v>425</v>
      </c>
      <c r="O416" s="1077">
        <f t="shared" ref="O416:O421" si="185">P416/100</f>
        <v>0.26800000000000002</v>
      </c>
      <c r="P416" s="1075">
        <v>26.8</v>
      </c>
      <c r="Q416" s="1074">
        <v>1634.7</v>
      </c>
      <c r="R416" s="1074">
        <v>0</v>
      </c>
      <c r="S416" s="1074">
        <v>0</v>
      </c>
      <c r="T416" s="1074">
        <v>1520.65</v>
      </c>
      <c r="U416" s="1074">
        <v>0</v>
      </c>
      <c r="V416" s="1074">
        <v>0</v>
      </c>
      <c r="W416" s="1074">
        <v>1520.65</v>
      </c>
      <c r="X416" s="1074">
        <v>0</v>
      </c>
      <c r="Y416" s="1074">
        <v>0</v>
      </c>
      <c r="Z416" s="1074">
        <v>0</v>
      </c>
      <c r="AA416" s="1074">
        <v>0</v>
      </c>
      <c r="AB416" s="1074">
        <v>114.05</v>
      </c>
      <c r="AC416" s="1074">
        <v>0</v>
      </c>
      <c r="AD416" s="1074">
        <v>0</v>
      </c>
      <c r="AE416" s="1074">
        <v>1996000</v>
      </c>
      <c r="AF416" s="1074" t="s">
        <v>251</v>
      </c>
      <c r="AG416" s="1095">
        <f>VLOOKUP(B416,עזר!A$2:B$329,2,FALSE)</f>
        <v>16629.5</v>
      </c>
      <c r="AH416" s="1074">
        <f t="shared" si="179"/>
        <v>4904.1000000000004</v>
      </c>
      <c r="AI416" s="1074">
        <f t="shared" si="180"/>
        <v>21533.599999999999</v>
      </c>
      <c r="AJ416" s="1077">
        <f>VLOOKUP(B416,Sheet1!D$2:K$430,7,FALSE)</f>
        <v>0.26800000000000002</v>
      </c>
      <c r="AK416" s="1074">
        <f>VLOOKUP(B416,Sheet1!D$2:L$430,8,FALSE)</f>
        <v>21533</v>
      </c>
      <c r="AL416" s="1109">
        <f t="shared" ref="AL416:AL447" si="186">O416</f>
        <v>0.26800000000000002</v>
      </c>
      <c r="AM416" s="1074">
        <f t="shared" ref="AM416:AM421" si="187">AI416*1.02</f>
        <v>21964.271999999997</v>
      </c>
      <c r="AN416" s="1085">
        <f t="shared" si="183"/>
        <v>0.26800000000000002</v>
      </c>
      <c r="AO416" s="1074">
        <f t="shared" si="184"/>
        <v>21964.271999999997</v>
      </c>
      <c r="AP416" s="1080"/>
    </row>
    <row r="417" spans="1:42" outlineLevel="2" x14ac:dyDescent="0.2">
      <c r="A417" s="1075">
        <v>506</v>
      </c>
      <c r="B417" s="1078">
        <v>2021420</v>
      </c>
      <c r="C417" s="1075">
        <v>20214201</v>
      </c>
      <c r="D417" s="1075" t="s">
        <v>1390</v>
      </c>
      <c r="E417" s="1075" t="s">
        <v>2340</v>
      </c>
      <c r="F417" s="1075">
        <v>996000</v>
      </c>
      <c r="G417" s="1075" t="s">
        <v>2107</v>
      </c>
      <c r="H417" s="1075">
        <v>90534</v>
      </c>
      <c r="I417" s="1075">
        <v>3</v>
      </c>
      <c r="J417" s="1075">
        <v>5</v>
      </c>
      <c r="K417" s="1075">
        <v>5</v>
      </c>
      <c r="L417" s="1075">
        <v>0</v>
      </c>
      <c r="M417" s="1075" t="s">
        <v>425</v>
      </c>
      <c r="N417" s="1075" t="s">
        <v>425</v>
      </c>
      <c r="O417" s="1077">
        <f t="shared" si="185"/>
        <v>0.2</v>
      </c>
      <c r="P417" s="1075">
        <v>20</v>
      </c>
      <c r="Q417" s="1074">
        <v>1083.2</v>
      </c>
      <c r="R417" s="1074">
        <v>0</v>
      </c>
      <c r="S417" s="1074">
        <v>0</v>
      </c>
      <c r="T417" s="1074">
        <v>1007.65</v>
      </c>
      <c r="U417" s="1074">
        <v>0</v>
      </c>
      <c r="V417" s="1074">
        <v>0</v>
      </c>
      <c r="W417" s="1074">
        <v>1007.65</v>
      </c>
      <c r="X417" s="1074">
        <v>0</v>
      </c>
      <c r="Y417" s="1074">
        <v>0</v>
      </c>
      <c r="Z417" s="1074">
        <v>0</v>
      </c>
      <c r="AA417" s="1074">
        <v>0</v>
      </c>
      <c r="AB417" s="1074">
        <v>75.55</v>
      </c>
      <c r="AC417" s="1074">
        <v>0</v>
      </c>
      <c r="AD417" s="1074">
        <v>0</v>
      </c>
      <c r="AE417" s="1074">
        <v>1996000</v>
      </c>
      <c r="AF417" s="1074" t="s">
        <v>251</v>
      </c>
      <c r="AG417" s="1095">
        <f>VLOOKUP(B417,עזר!A$2:B$329,2,FALSE)</f>
        <v>10906</v>
      </c>
      <c r="AH417" s="1074">
        <f t="shared" si="179"/>
        <v>3249.6000000000004</v>
      </c>
      <c r="AI417" s="1074">
        <f t="shared" si="180"/>
        <v>14155.6</v>
      </c>
      <c r="AJ417" s="1077">
        <f>VLOOKUP(B417,Sheet1!D$2:K$430,7,FALSE)</f>
        <v>0.2</v>
      </c>
      <c r="AK417" s="1074">
        <f>VLOOKUP(B417,Sheet1!D$2:L$430,8,FALSE)</f>
        <v>14156</v>
      </c>
      <c r="AL417" s="1109">
        <f t="shared" si="186"/>
        <v>0.2</v>
      </c>
      <c r="AM417" s="1074">
        <f t="shared" si="187"/>
        <v>14438.712000000001</v>
      </c>
      <c r="AN417" s="1085">
        <f t="shared" si="183"/>
        <v>0.2</v>
      </c>
      <c r="AO417" s="1074">
        <f t="shared" si="184"/>
        <v>14438.712000000001</v>
      </c>
      <c r="AP417" s="1080"/>
    </row>
    <row r="418" spans="1:42" outlineLevel="2" x14ac:dyDescent="0.2">
      <c r="A418" s="1075">
        <v>506</v>
      </c>
      <c r="B418" s="1078">
        <v>2021475</v>
      </c>
      <c r="C418" s="1075">
        <v>20214755</v>
      </c>
      <c r="D418" s="1075" t="s">
        <v>1709</v>
      </c>
      <c r="E418" s="1075" t="s">
        <v>2325</v>
      </c>
      <c r="F418" s="1075">
        <v>996000</v>
      </c>
      <c r="G418" s="1075" t="s">
        <v>2107</v>
      </c>
      <c r="H418" s="1075">
        <v>90534</v>
      </c>
      <c r="I418" s="1075">
        <v>3</v>
      </c>
      <c r="J418" s="1075">
        <v>5</v>
      </c>
      <c r="K418" s="1075">
        <v>13</v>
      </c>
      <c r="L418" s="1075">
        <v>0</v>
      </c>
      <c r="M418" s="1075" t="s">
        <v>425</v>
      </c>
      <c r="N418" s="1075" t="s">
        <v>425</v>
      </c>
      <c r="O418" s="1077">
        <f t="shared" si="185"/>
        <v>0.35200000000000004</v>
      </c>
      <c r="P418" s="1075">
        <v>35.200000000000003</v>
      </c>
      <c r="Q418" s="1074">
        <v>5925.9</v>
      </c>
      <c r="R418" s="1074">
        <v>0</v>
      </c>
      <c r="S418" s="1074">
        <v>0</v>
      </c>
      <c r="T418" s="1074">
        <v>5512.45</v>
      </c>
      <c r="U418" s="1074">
        <v>0</v>
      </c>
      <c r="V418" s="1074">
        <v>0</v>
      </c>
      <c r="W418" s="1074">
        <v>5512.45</v>
      </c>
      <c r="X418" s="1074">
        <v>0</v>
      </c>
      <c r="Y418" s="1074">
        <v>0</v>
      </c>
      <c r="Z418" s="1074">
        <v>0</v>
      </c>
      <c r="AA418" s="1074">
        <v>0</v>
      </c>
      <c r="AB418" s="1074">
        <v>413.45</v>
      </c>
      <c r="AC418" s="1074">
        <v>0</v>
      </c>
      <c r="AD418" s="1074">
        <v>0</v>
      </c>
      <c r="AE418" s="1074">
        <v>1996000</v>
      </c>
      <c r="AF418" s="1074" t="s">
        <v>251</v>
      </c>
      <c r="AG418" s="1095">
        <f>VLOOKUP(B418,עזר!A$2:B$329,2,FALSE)</f>
        <v>38410.400000000001</v>
      </c>
      <c r="AH418" s="1074">
        <f t="shared" si="179"/>
        <v>17777.699999999997</v>
      </c>
      <c r="AI418" s="1074">
        <f t="shared" si="180"/>
        <v>56188.1</v>
      </c>
      <c r="AJ418" s="1077">
        <f>VLOOKUP(B418,Sheet1!D$2:K$430,7,FALSE)</f>
        <v>0.35199999999999998</v>
      </c>
      <c r="AK418" s="1074">
        <f>VLOOKUP(B418,Sheet1!D$2:L$430,8,FALSE)</f>
        <v>49521</v>
      </c>
      <c r="AL418" s="1109">
        <f t="shared" si="186"/>
        <v>0.35200000000000004</v>
      </c>
      <c r="AM418" s="1074">
        <f t="shared" si="187"/>
        <v>57311.862000000001</v>
      </c>
      <c r="AN418" s="1085">
        <f t="shared" si="183"/>
        <v>0.35200000000000004</v>
      </c>
      <c r="AO418" s="1074">
        <f t="shared" si="184"/>
        <v>57311.862000000001</v>
      </c>
      <c r="AP418" s="1080"/>
    </row>
    <row r="419" spans="1:42" outlineLevel="2" x14ac:dyDescent="0.2">
      <c r="A419" s="1075">
        <v>506</v>
      </c>
      <c r="B419" s="1078">
        <v>2021476</v>
      </c>
      <c r="C419" s="1075">
        <v>20214763</v>
      </c>
      <c r="D419" s="1075" t="s">
        <v>1709</v>
      </c>
      <c r="E419" s="1075" t="s">
        <v>2341</v>
      </c>
      <c r="F419" s="1075">
        <v>996000</v>
      </c>
      <c r="G419" s="1075" t="s">
        <v>2107</v>
      </c>
      <c r="H419" s="1075">
        <v>90534</v>
      </c>
      <c r="I419" s="1075">
        <v>3</v>
      </c>
      <c r="J419" s="1075">
        <v>5</v>
      </c>
      <c r="K419" s="1075">
        <v>40</v>
      </c>
      <c r="L419" s="1075">
        <v>0</v>
      </c>
      <c r="M419" s="1075" t="s">
        <v>425</v>
      </c>
      <c r="N419" s="1075" t="s">
        <v>425</v>
      </c>
      <c r="O419" s="1077">
        <f t="shared" si="185"/>
        <v>0.26600000000000001</v>
      </c>
      <c r="P419" s="1075">
        <v>26.6</v>
      </c>
      <c r="Q419" s="1074">
        <v>1853.55</v>
      </c>
      <c r="R419" s="1074">
        <v>0</v>
      </c>
      <c r="S419" s="1074">
        <v>0</v>
      </c>
      <c r="T419" s="1074">
        <v>1724.25</v>
      </c>
      <c r="U419" s="1074">
        <v>0</v>
      </c>
      <c r="V419" s="1074">
        <v>0</v>
      </c>
      <c r="W419" s="1074">
        <v>1724.25</v>
      </c>
      <c r="X419" s="1074">
        <v>0</v>
      </c>
      <c r="Y419" s="1074">
        <v>0</v>
      </c>
      <c r="Z419" s="1074">
        <v>0</v>
      </c>
      <c r="AA419" s="1074">
        <v>0</v>
      </c>
      <c r="AB419" s="1074">
        <v>129.30000000000001</v>
      </c>
      <c r="AC419" s="1074">
        <v>0</v>
      </c>
      <c r="AD419" s="1074">
        <v>0</v>
      </c>
      <c r="AE419" s="1074">
        <v>1996000</v>
      </c>
      <c r="AF419" s="1074" t="s">
        <v>251</v>
      </c>
      <c r="AG419" s="1095">
        <f>VLOOKUP(B419,עזר!A$2:B$329,2,FALSE)</f>
        <v>18712.3</v>
      </c>
      <c r="AH419" s="1074">
        <f t="shared" si="179"/>
        <v>5560.65</v>
      </c>
      <c r="AI419" s="1074">
        <f t="shared" si="180"/>
        <v>24272.949999999997</v>
      </c>
      <c r="AJ419" s="1077">
        <f>VLOOKUP(B419,Sheet1!D$2:K$430,7,FALSE)</f>
        <v>0.27</v>
      </c>
      <c r="AK419" s="1074">
        <f>VLOOKUP(B419,Sheet1!D$2:L$430,8,FALSE)</f>
        <v>24273</v>
      </c>
      <c r="AL419" s="1109">
        <f t="shared" si="186"/>
        <v>0.26600000000000001</v>
      </c>
      <c r="AM419" s="1074">
        <f t="shared" si="187"/>
        <v>24758.408999999996</v>
      </c>
      <c r="AN419" s="1085">
        <f t="shared" si="183"/>
        <v>0.26600000000000001</v>
      </c>
      <c r="AO419" s="1074">
        <f t="shared" si="184"/>
        <v>24758.408999999996</v>
      </c>
      <c r="AP419" s="1080"/>
    </row>
    <row r="420" spans="1:42" outlineLevel="2" x14ac:dyDescent="0.2">
      <c r="A420" s="1075">
        <v>506</v>
      </c>
      <c r="B420" s="1078">
        <v>2021542</v>
      </c>
      <c r="C420" s="1075">
        <v>20215422</v>
      </c>
      <c r="D420" s="1075" t="s">
        <v>2131</v>
      </c>
      <c r="E420" s="1075" t="s">
        <v>2342</v>
      </c>
      <c r="F420" s="1075">
        <v>996000</v>
      </c>
      <c r="G420" s="1075" t="s">
        <v>2107</v>
      </c>
      <c r="H420" s="1075">
        <v>90534</v>
      </c>
      <c r="I420" s="1075">
        <v>3</v>
      </c>
      <c r="J420" s="1075">
        <v>5</v>
      </c>
      <c r="K420" s="1075">
        <v>6</v>
      </c>
      <c r="L420" s="1075">
        <v>0</v>
      </c>
      <c r="M420" s="1075" t="s">
        <v>425</v>
      </c>
      <c r="N420" s="1075" t="s">
        <v>425</v>
      </c>
      <c r="O420" s="1077">
        <f t="shared" si="185"/>
        <v>0.43799999999999994</v>
      </c>
      <c r="P420" s="1075">
        <v>43.8</v>
      </c>
      <c r="Q420" s="1074">
        <v>2771.15</v>
      </c>
      <c r="R420" s="1074">
        <v>0</v>
      </c>
      <c r="S420" s="1074">
        <v>0</v>
      </c>
      <c r="T420" s="1074">
        <v>2577.8000000000002</v>
      </c>
      <c r="U420" s="1074">
        <v>0</v>
      </c>
      <c r="V420" s="1074">
        <v>0</v>
      </c>
      <c r="W420" s="1074">
        <v>2577.8000000000002</v>
      </c>
      <c r="X420" s="1074">
        <v>0</v>
      </c>
      <c r="Y420" s="1074">
        <v>0</v>
      </c>
      <c r="Z420" s="1074">
        <v>0</v>
      </c>
      <c r="AA420" s="1074">
        <v>0</v>
      </c>
      <c r="AB420" s="1074">
        <v>193.35</v>
      </c>
      <c r="AC420" s="1074">
        <v>0</v>
      </c>
      <c r="AD420" s="1074">
        <v>0</v>
      </c>
      <c r="AE420" s="1074">
        <v>1996000</v>
      </c>
      <c r="AF420" s="1074" t="s">
        <v>251</v>
      </c>
      <c r="AG420" s="1095">
        <f>VLOOKUP(B420,עזר!A$2:B$329,2,FALSE)</f>
        <v>27991.25</v>
      </c>
      <c r="AH420" s="1074">
        <f t="shared" si="179"/>
        <v>8313.4500000000007</v>
      </c>
      <c r="AI420" s="1074">
        <f t="shared" si="180"/>
        <v>36304.699999999997</v>
      </c>
      <c r="AJ420" s="1077">
        <f>VLOOKUP(B420,Sheet1!D$2:K$430,7,FALSE)</f>
        <v>0.438</v>
      </c>
      <c r="AK420" s="1074">
        <f>VLOOKUP(B420,Sheet1!D$2:L$430,8,FALSE)</f>
        <v>36305</v>
      </c>
      <c r="AL420" s="1109">
        <f t="shared" si="186"/>
        <v>0.43799999999999994</v>
      </c>
      <c r="AM420" s="1074">
        <f t="shared" si="187"/>
        <v>37030.793999999994</v>
      </c>
      <c r="AN420" s="1085">
        <f t="shared" si="183"/>
        <v>0.43799999999999994</v>
      </c>
      <c r="AO420" s="1074">
        <f t="shared" si="184"/>
        <v>37030.793999999994</v>
      </c>
      <c r="AP420" s="1080"/>
    </row>
    <row r="421" spans="1:42" outlineLevel="2" x14ac:dyDescent="0.2">
      <c r="A421" s="1075">
        <v>506</v>
      </c>
      <c r="B421" s="1078">
        <v>2021543</v>
      </c>
      <c r="C421" s="1075">
        <v>20215430</v>
      </c>
      <c r="D421" s="1075" t="s">
        <v>2131</v>
      </c>
      <c r="E421" s="1075" t="s">
        <v>2343</v>
      </c>
      <c r="F421" s="1075">
        <v>996000</v>
      </c>
      <c r="G421" s="1075" t="s">
        <v>2107</v>
      </c>
      <c r="H421" s="1075">
        <v>90534</v>
      </c>
      <c r="I421" s="1075">
        <v>3</v>
      </c>
      <c r="J421" s="1075">
        <v>5</v>
      </c>
      <c r="K421" s="1075">
        <v>5</v>
      </c>
      <c r="L421" s="1075">
        <v>0</v>
      </c>
      <c r="M421" s="1075" t="s">
        <v>425</v>
      </c>
      <c r="N421" s="1075" t="s">
        <v>425</v>
      </c>
      <c r="O421" s="1077">
        <f t="shared" si="185"/>
        <v>0.33</v>
      </c>
      <c r="P421" s="1075">
        <v>33</v>
      </c>
      <c r="Q421" s="1074">
        <v>1840.1</v>
      </c>
      <c r="R421" s="1074">
        <v>0</v>
      </c>
      <c r="S421" s="1074">
        <v>0</v>
      </c>
      <c r="T421" s="1074">
        <v>1711.7</v>
      </c>
      <c r="U421" s="1074">
        <v>0</v>
      </c>
      <c r="V421" s="1074">
        <v>0</v>
      </c>
      <c r="W421" s="1074">
        <v>1711.7</v>
      </c>
      <c r="X421" s="1074">
        <v>0</v>
      </c>
      <c r="Y421" s="1074">
        <v>0</v>
      </c>
      <c r="Z421" s="1074">
        <v>0</v>
      </c>
      <c r="AA421" s="1074">
        <v>0</v>
      </c>
      <c r="AB421" s="1074">
        <v>128.4</v>
      </c>
      <c r="AC421" s="1074">
        <v>0</v>
      </c>
      <c r="AD421" s="1074">
        <v>0</v>
      </c>
      <c r="AE421" s="1074">
        <v>1996000</v>
      </c>
      <c r="AF421" s="1074" t="s">
        <v>251</v>
      </c>
      <c r="AG421" s="1095">
        <f>VLOOKUP(B421,עזר!A$2:B$329,2,FALSE)</f>
        <v>18622.3</v>
      </c>
      <c r="AH421" s="1074">
        <f t="shared" si="179"/>
        <v>5520.2999999999993</v>
      </c>
      <c r="AI421" s="1074">
        <f t="shared" si="180"/>
        <v>24142.6</v>
      </c>
      <c r="AJ421" s="1077">
        <f>VLOOKUP(B421,Sheet1!D$2:K$430,7,FALSE)</f>
        <v>0.33</v>
      </c>
      <c r="AK421" s="1074">
        <f>VLOOKUP(B421,Sheet1!D$2:L$430,8,FALSE)</f>
        <v>24143</v>
      </c>
      <c r="AL421" s="1109">
        <f t="shared" si="186"/>
        <v>0.33</v>
      </c>
      <c r="AM421" s="1074">
        <f t="shared" si="187"/>
        <v>24625.451999999997</v>
      </c>
      <c r="AN421" s="1085">
        <f t="shared" si="183"/>
        <v>0.33</v>
      </c>
      <c r="AO421" s="1074">
        <f t="shared" si="184"/>
        <v>24625.451999999997</v>
      </c>
      <c r="AP421" s="1080"/>
    </row>
    <row r="422" spans="1:42" outlineLevel="2" x14ac:dyDescent="0.2">
      <c r="A422" s="1075">
        <v>506</v>
      </c>
      <c r="B422" s="1075">
        <v>2021588</v>
      </c>
      <c r="C422" s="1075">
        <v>20215885</v>
      </c>
      <c r="D422" s="1075" t="s">
        <v>2131</v>
      </c>
      <c r="E422" s="1075" t="s">
        <v>2438</v>
      </c>
      <c r="F422" s="1075">
        <v>996000</v>
      </c>
      <c r="G422" s="1075" t="s">
        <v>2384</v>
      </c>
      <c r="H422" s="1075">
        <v>90534</v>
      </c>
      <c r="I422" s="1075">
        <v>3</v>
      </c>
      <c r="J422" s="1075">
        <v>11</v>
      </c>
      <c r="K422" s="1075">
        <v>1</v>
      </c>
      <c r="L422" s="1075">
        <v>0</v>
      </c>
      <c r="M422" s="1075" t="s">
        <v>425</v>
      </c>
      <c r="N422" s="1075" t="s">
        <v>425</v>
      </c>
      <c r="O422" s="1077">
        <f>4.4/900</f>
        <v>4.8888888888888897E-3</v>
      </c>
      <c r="Q422" s="1074">
        <v>0</v>
      </c>
      <c r="R422" s="1074"/>
      <c r="S422" s="1074"/>
      <c r="T422" s="1074"/>
      <c r="U422" s="1074"/>
      <c r="V422" s="1074"/>
      <c r="W422" s="1074"/>
      <c r="X422" s="1074"/>
      <c r="Y422" s="1074"/>
      <c r="Z422" s="1074"/>
      <c r="AA422" s="1074"/>
      <c r="AB422" s="1074"/>
      <c r="AC422" s="1074"/>
      <c r="AD422" s="1074"/>
      <c r="AE422" s="1074"/>
      <c r="AF422" s="1074"/>
      <c r="AG422" s="1095">
        <f>VLOOKUP(B422,עזר!A$2:B$329,2,FALSE)</f>
        <v>1695.1</v>
      </c>
      <c r="AH422" s="1074">
        <f t="shared" si="179"/>
        <v>0</v>
      </c>
      <c r="AI422" s="1074">
        <f t="shared" si="180"/>
        <v>1695.1</v>
      </c>
      <c r="AJ422" s="1077">
        <f>VLOOKUP(B422,Sheet1!D$2:K$430,7,FALSE)</f>
        <v>0.7</v>
      </c>
      <c r="AK422" s="1074">
        <f>VLOOKUP(B422,Sheet1!D$2:L$430,8,FALSE)</f>
        <v>315363</v>
      </c>
      <c r="AL422" s="1109">
        <f t="shared" si="186"/>
        <v>4.8888888888888897E-3</v>
      </c>
      <c r="AM422" s="1074">
        <v>0</v>
      </c>
      <c r="AN422" s="1085">
        <f t="shared" si="183"/>
        <v>4.8888888888888897E-3</v>
      </c>
      <c r="AO422" s="1074">
        <f t="shared" si="184"/>
        <v>0</v>
      </c>
      <c r="AP422" s="1080"/>
    </row>
    <row r="423" spans="1:42" outlineLevel="2" x14ac:dyDescent="0.2">
      <c r="A423" s="1075">
        <v>506</v>
      </c>
      <c r="B423" s="1078">
        <v>2021625</v>
      </c>
      <c r="C423" s="1075">
        <v>20216255</v>
      </c>
      <c r="D423" s="1075" t="s">
        <v>1374</v>
      </c>
      <c r="E423" s="1075" t="s">
        <v>2116</v>
      </c>
      <c r="F423" s="1075">
        <v>996000</v>
      </c>
      <c r="G423" s="1075" t="s">
        <v>2107</v>
      </c>
      <c r="H423" s="1075">
        <v>90534</v>
      </c>
      <c r="I423" s="1075">
        <v>3</v>
      </c>
      <c r="J423" s="1075">
        <v>5</v>
      </c>
      <c r="K423" s="1075">
        <v>7</v>
      </c>
      <c r="L423" s="1075">
        <v>0</v>
      </c>
      <c r="M423" s="1075" t="s">
        <v>425</v>
      </c>
      <c r="N423" s="1075" t="s">
        <v>425</v>
      </c>
      <c r="O423" s="1077">
        <f t="shared" ref="O423:O467" si="188">P423/100</f>
        <v>0.4</v>
      </c>
      <c r="P423" s="1075">
        <v>40</v>
      </c>
      <c r="Q423" s="1074">
        <v>2185.65</v>
      </c>
      <c r="R423" s="1074">
        <v>0</v>
      </c>
      <c r="S423" s="1074">
        <v>0</v>
      </c>
      <c r="T423" s="1074">
        <v>2185.65</v>
      </c>
      <c r="U423" s="1074">
        <v>0</v>
      </c>
      <c r="V423" s="1074">
        <v>0</v>
      </c>
      <c r="W423" s="1074">
        <v>2185.65</v>
      </c>
      <c r="X423" s="1074">
        <v>0</v>
      </c>
      <c r="Y423" s="1074">
        <v>0</v>
      </c>
      <c r="Z423" s="1074">
        <v>0</v>
      </c>
      <c r="AA423" s="1074">
        <v>0</v>
      </c>
      <c r="AB423" s="1074">
        <v>0</v>
      </c>
      <c r="AC423" s="1074">
        <v>0</v>
      </c>
      <c r="AD423" s="1074">
        <v>0</v>
      </c>
      <c r="AE423" s="1074">
        <v>1996000</v>
      </c>
      <c r="AF423" s="1074" t="s">
        <v>251</v>
      </c>
      <c r="AG423" s="1095">
        <f>VLOOKUP(B423,עזר!A$2:B$329,2,FALSE)</f>
        <v>22252.45</v>
      </c>
      <c r="AH423" s="1074">
        <f t="shared" si="179"/>
        <v>6556.9500000000007</v>
      </c>
      <c r="AI423" s="1074">
        <f t="shared" si="180"/>
        <v>28809.4</v>
      </c>
      <c r="AJ423" s="1077">
        <f>VLOOKUP(B423,Sheet1!D$2:K$430,7,FALSE)</f>
        <v>0.4</v>
      </c>
      <c r="AK423" s="1074">
        <f>VLOOKUP(B423,Sheet1!D$2:L$430,8,FALSE)</f>
        <v>30067</v>
      </c>
      <c r="AL423" s="1109">
        <f t="shared" si="186"/>
        <v>0.4</v>
      </c>
      <c r="AM423" s="1074">
        <f t="shared" ref="AM423:AM443" si="189">AI423*1.02</f>
        <v>29385.588000000003</v>
      </c>
      <c r="AN423" s="1085">
        <f t="shared" si="183"/>
        <v>0.4</v>
      </c>
      <c r="AO423" s="1074">
        <f t="shared" si="184"/>
        <v>29385.588000000003</v>
      </c>
      <c r="AP423" s="1080"/>
    </row>
    <row r="424" spans="1:42" outlineLevel="2" x14ac:dyDescent="0.2">
      <c r="A424" s="1075">
        <v>506</v>
      </c>
      <c r="B424" s="1078">
        <v>2021917</v>
      </c>
      <c r="C424" s="1075">
        <v>20219176</v>
      </c>
      <c r="D424" s="1075" t="s">
        <v>2131</v>
      </c>
      <c r="E424" s="1075" t="s">
        <v>2344</v>
      </c>
      <c r="F424" s="1075">
        <v>996000</v>
      </c>
      <c r="G424" s="1075" t="s">
        <v>2107</v>
      </c>
      <c r="H424" s="1075">
        <v>90534</v>
      </c>
      <c r="I424" s="1075">
        <v>3</v>
      </c>
      <c r="J424" s="1075">
        <v>5</v>
      </c>
      <c r="K424" s="1075">
        <v>41</v>
      </c>
      <c r="L424" s="1075">
        <v>0</v>
      </c>
      <c r="M424" s="1075" t="s">
        <v>425</v>
      </c>
      <c r="N424" s="1075" t="s">
        <v>425</v>
      </c>
      <c r="O424" s="1077">
        <f t="shared" si="188"/>
        <v>0.22800000000000001</v>
      </c>
      <c r="P424" s="1075">
        <v>22.8</v>
      </c>
      <c r="Q424" s="1074">
        <v>1637.1</v>
      </c>
      <c r="R424" s="1074">
        <v>0</v>
      </c>
      <c r="S424" s="1074">
        <v>0</v>
      </c>
      <c r="T424" s="1074">
        <v>1522.9</v>
      </c>
      <c r="U424" s="1074">
        <v>0</v>
      </c>
      <c r="V424" s="1074">
        <v>0</v>
      </c>
      <c r="W424" s="1074">
        <v>1522.9</v>
      </c>
      <c r="X424" s="1074">
        <v>0</v>
      </c>
      <c r="Y424" s="1074">
        <v>0</v>
      </c>
      <c r="Z424" s="1074">
        <v>0</v>
      </c>
      <c r="AA424" s="1074">
        <v>0</v>
      </c>
      <c r="AB424" s="1074">
        <v>114.2</v>
      </c>
      <c r="AC424" s="1074">
        <v>0</v>
      </c>
      <c r="AD424" s="1074">
        <v>0</v>
      </c>
      <c r="AE424" s="1074">
        <v>1996000</v>
      </c>
      <c r="AF424" s="1074" t="s">
        <v>251</v>
      </c>
      <c r="AG424" s="1095">
        <f>VLOOKUP(B424,עזר!A$2:B$329,2,FALSE)</f>
        <v>16474.2</v>
      </c>
      <c r="AH424" s="1074">
        <f t="shared" si="179"/>
        <v>4911.2999999999993</v>
      </c>
      <c r="AI424" s="1074">
        <f t="shared" si="180"/>
        <v>21385.5</v>
      </c>
      <c r="AJ424" s="1077">
        <f>VLOOKUP(B424,Sheet1!D$2:K$430,7,FALSE)</f>
        <v>0.22800000000000001</v>
      </c>
      <c r="AK424" s="1074">
        <f>VLOOKUP(B424,Sheet1!D$2:L$430,8,FALSE)</f>
        <v>31386</v>
      </c>
      <c r="AL424" s="1109">
        <f t="shared" si="186"/>
        <v>0.22800000000000001</v>
      </c>
      <c r="AM424" s="1074">
        <f t="shared" si="189"/>
        <v>21813.21</v>
      </c>
      <c r="AN424" s="1085">
        <f t="shared" si="183"/>
        <v>0.22800000000000001</v>
      </c>
      <c r="AO424" s="1074">
        <f t="shared" si="184"/>
        <v>21813.21</v>
      </c>
      <c r="AP424" s="1080"/>
    </row>
    <row r="425" spans="1:42" outlineLevel="2" x14ac:dyDescent="0.2">
      <c r="A425" s="1075">
        <v>506</v>
      </c>
      <c r="B425" s="1078">
        <v>2021981</v>
      </c>
      <c r="C425" s="1075">
        <v>20219812</v>
      </c>
      <c r="D425" s="1075" t="s">
        <v>1709</v>
      </c>
      <c r="E425" s="1075" t="s">
        <v>1513</v>
      </c>
      <c r="F425" s="1075">
        <v>996000</v>
      </c>
      <c r="G425" s="1075" t="s">
        <v>2107</v>
      </c>
      <c r="H425" s="1075">
        <v>90534</v>
      </c>
      <c r="I425" s="1075">
        <v>3</v>
      </c>
      <c r="J425" s="1075">
        <v>5</v>
      </c>
      <c r="K425" s="1075">
        <v>40</v>
      </c>
      <c r="L425" s="1075">
        <v>0</v>
      </c>
      <c r="M425" s="1075" t="s">
        <v>425</v>
      </c>
      <c r="N425" s="1075" t="s">
        <v>425</v>
      </c>
      <c r="O425" s="1077">
        <f t="shared" si="188"/>
        <v>0.56000000000000005</v>
      </c>
      <c r="P425" s="1075">
        <v>56</v>
      </c>
      <c r="Q425" s="1074">
        <v>3878.7</v>
      </c>
      <c r="R425" s="1074">
        <v>0</v>
      </c>
      <c r="S425" s="1074">
        <v>0</v>
      </c>
      <c r="T425" s="1074">
        <v>3608.1</v>
      </c>
      <c r="U425" s="1074">
        <v>0</v>
      </c>
      <c r="V425" s="1074">
        <v>0</v>
      </c>
      <c r="W425" s="1074">
        <v>3608.1</v>
      </c>
      <c r="X425" s="1074">
        <v>0</v>
      </c>
      <c r="Y425" s="1074">
        <v>0</v>
      </c>
      <c r="Z425" s="1074">
        <v>0</v>
      </c>
      <c r="AA425" s="1074">
        <v>0</v>
      </c>
      <c r="AB425" s="1074">
        <v>270.60000000000002</v>
      </c>
      <c r="AC425" s="1074">
        <v>0</v>
      </c>
      <c r="AD425" s="1074">
        <v>0</v>
      </c>
      <c r="AE425" s="1074">
        <v>1996000</v>
      </c>
      <c r="AF425" s="1074" t="s">
        <v>251</v>
      </c>
      <c r="AG425" s="1095">
        <f>VLOOKUP(B425,עזר!A$2:B$329,2,FALSE)</f>
        <v>39450.85</v>
      </c>
      <c r="AH425" s="1074">
        <f t="shared" si="179"/>
        <v>11636.099999999999</v>
      </c>
      <c r="AI425" s="1074">
        <f t="shared" si="180"/>
        <v>51086.95</v>
      </c>
      <c r="AJ425" s="1077">
        <f>VLOOKUP(B425,Sheet1!D$2:K$430,7,FALSE)</f>
        <v>0.56000000000000005</v>
      </c>
      <c r="AK425" s="1074">
        <f>VLOOKUP(B425,Sheet1!D$2:L$430,8,FALSE)</f>
        <v>51086</v>
      </c>
      <c r="AL425" s="1109">
        <f t="shared" si="186"/>
        <v>0.56000000000000005</v>
      </c>
      <c r="AM425" s="1074">
        <f t="shared" si="189"/>
        <v>52108.688999999998</v>
      </c>
      <c r="AN425" s="1085">
        <f t="shared" si="183"/>
        <v>0.56000000000000005</v>
      </c>
      <c r="AO425" s="1074">
        <f t="shared" si="184"/>
        <v>52108.688999999998</v>
      </c>
      <c r="AP425" s="1080"/>
    </row>
    <row r="426" spans="1:42" outlineLevel="2" x14ac:dyDescent="0.2">
      <c r="A426" s="1075">
        <v>506</v>
      </c>
      <c r="B426" s="1078">
        <v>2049048</v>
      </c>
      <c r="C426" s="1075">
        <v>20490488</v>
      </c>
      <c r="D426" s="1075" t="s">
        <v>2345</v>
      </c>
      <c r="E426" s="1075" t="s">
        <v>2346</v>
      </c>
      <c r="F426" s="1075">
        <v>996000</v>
      </c>
      <c r="G426" s="1075" t="s">
        <v>2107</v>
      </c>
      <c r="H426" s="1075">
        <v>90534</v>
      </c>
      <c r="I426" s="1075">
        <v>0</v>
      </c>
      <c r="J426" s="1075">
        <v>5</v>
      </c>
      <c r="K426" s="1075">
        <v>4</v>
      </c>
      <c r="L426" s="1075">
        <v>0</v>
      </c>
      <c r="M426" s="1075" t="s">
        <v>425</v>
      </c>
      <c r="N426" s="1075" t="s">
        <v>425</v>
      </c>
      <c r="O426" s="1077">
        <f t="shared" si="188"/>
        <v>0.16200000000000001</v>
      </c>
      <c r="P426" s="1075">
        <v>16.2</v>
      </c>
      <c r="Q426" s="1074">
        <v>918.29</v>
      </c>
      <c r="R426" s="1074">
        <v>0</v>
      </c>
      <c r="S426" s="1074">
        <v>3.23</v>
      </c>
      <c r="T426" s="1074">
        <v>851.21</v>
      </c>
      <c r="U426" s="1074">
        <v>0</v>
      </c>
      <c r="V426" s="1074">
        <v>0</v>
      </c>
      <c r="W426" s="1074">
        <v>0</v>
      </c>
      <c r="X426" s="1074">
        <v>0</v>
      </c>
      <c r="Y426" s="1074">
        <v>4.9000000000000004</v>
      </c>
      <c r="Z426" s="1074">
        <v>0</v>
      </c>
      <c r="AA426" s="1074">
        <v>846.31</v>
      </c>
      <c r="AB426" s="1074">
        <v>63.85</v>
      </c>
      <c r="AC426" s="1074">
        <v>0</v>
      </c>
      <c r="AD426" s="1074">
        <v>0</v>
      </c>
      <c r="AE426" s="1074">
        <v>1996000</v>
      </c>
      <c r="AF426" s="1074" t="s">
        <v>251</v>
      </c>
      <c r="AG426" s="1095">
        <f>VLOOKUP(B426,עזר!A$2:B$329,2,FALSE)</f>
        <v>8870.19</v>
      </c>
      <c r="AH426" s="1074">
        <f t="shared" si="179"/>
        <v>2754.87</v>
      </c>
      <c r="AI426" s="1074">
        <f t="shared" si="180"/>
        <v>11625.060000000001</v>
      </c>
      <c r="AJ426" s="1077">
        <f>VLOOKUP(B426,Sheet1!D$2:K$430,7,FALSE)</f>
        <v>0.16</v>
      </c>
      <c r="AK426" s="1074">
        <f>VLOOKUP(B426,Sheet1!D$2:L$430,8,FALSE)</f>
        <v>10518</v>
      </c>
      <c r="AL426" s="1109">
        <f t="shared" si="186"/>
        <v>0.16200000000000001</v>
      </c>
      <c r="AM426" s="1074">
        <f t="shared" si="189"/>
        <v>11857.561200000002</v>
      </c>
      <c r="AN426" s="1085">
        <f t="shared" si="183"/>
        <v>0.16200000000000001</v>
      </c>
      <c r="AO426" s="1074">
        <f t="shared" si="184"/>
        <v>11857.561200000002</v>
      </c>
      <c r="AP426" s="1080"/>
    </row>
    <row r="427" spans="1:42" outlineLevel="2" x14ac:dyDescent="0.2">
      <c r="A427" s="1075">
        <v>506</v>
      </c>
      <c r="B427" s="1078">
        <v>2049080</v>
      </c>
      <c r="C427" s="1075">
        <v>20490801</v>
      </c>
      <c r="D427" s="1075" t="s">
        <v>1419</v>
      </c>
      <c r="E427" s="1075" t="s">
        <v>2347</v>
      </c>
      <c r="F427" s="1075">
        <v>996000</v>
      </c>
      <c r="G427" s="1075" t="s">
        <v>2107</v>
      </c>
      <c r="H427" s="1075">
        <v>90534</v>
      </c>
      <c r="I427" s="1075">
        <v>3</v>
      </c>
      <c r="J427" s="1075">
        <v>5</v>
      </c>
      <c r="K427" s="1075">
        <v>12</v>
      </c>
      <c r="L427" s="1075">
        <v>0</v>
      </c>
      <c r="M427" s="1075" t="s">
        <v>425</v>
      </c>
      <c r="N427" s="1075" t="s">
        <v>425</v>
      </c>
      <c r="O427" s="1077">
        <f t="shared" si="188"/>
        <v>0.39700000000000002</v>
      </c>
      <c r="P427" s="1075">
        <v>39.700000000000003</v>
      </c>
      <c r="Q427" s="1074">
        <v>5308.15</v>
      </c>
      <c r="R427" s="1074">
        <v>0</v>
      </c>
      <c r="S427" s="1074">
        <v>0</v>
      </c>
      <c r="T427" s="1074">
        <v>4937.8</v>
      </c>
      <c r="U427" s="1074">
        <v>0</v>
      </c>
      <c r="V427" s="1074">
        <v>0</v>
      </c>
      <c r="W427" s="1074">
        <v>4937.8</v>
      </c>
      <c r="X427" s="1074">
        <v>0</v>
      </c>
      <c r="Y427" s="1074">
        <v>0</v>
      </c>
      <c r="Z427" s="1074">
        <v>0</v>
      </c>
      <c r="AA427" s="1074">
        <v>0</v>
      </c>
      <c r="AB427" s="1074">
        <v>370.35</v>
      </c>
      <c r="AC427" s="1074">
        <v>0</v>
      </c>
      <c r="AD427" s="1074">
        <v>0</v>
      </c>
      <c r="AE427" s="1074">
        <v>1996000</v>
      </c>
      <c r="AF427" s="1074" t="s">
        <v>251</v>
      </c>
      <c r="AG427" s="1095">
        <f>VLOOKUP(B427,עזר!A$2:B$329,2,FALSE)</f>
        <v>34739.15</v>
      </c>
      <c r="AH427" s="1074">
        <f t="shared" si="179"/>
        <v>15924.449999999999</v>
      </c>
      <c r="AI427" s="1074">
        <f t="shared" si="180"/>
        <v>50663.6</v>
      </c>
      <c r="AJ427" s="1077">
        <f>VLOOKUP(B427,Sheet1!D$2:K$430,7,FALSE)</f>
        <v>0.39700000000000002</v>
      </c>
      <c r="AK427" s="1074">
        <f>VLOOKUP(B427,Sheet1!D$2:L$430,8,FALSE)</f>
        <v>42701</v>
      </c>
      <c r="AL427" s="1109">
        <f t="shared" si="186"/>
        <v>0.39700000000000002</v>
      </c>
      <c r="AM427" s="1074">
        <f t="shared" si="189"/>
        <v>51676.872000000003</v>
      </c>
      <c r="AN427" s="1085">
        <f t="shared" si="183"/>
        <v>0.39700000000000002</v>
      </c>
      <c r="AO427" s="1074">
        <f t="shared" si="184"/>
        <v>51676.872000000003</v>
      </c>
      <c r="AP427" s="1080"/>
    </row>
    <row r="428" spans="1:42" outlineLevel="2" x14ac:dyDescent="0.2">
      <c r="A428" s="1075">
        <v>506</v>
      </c>
      <c r="B428" s="1078">
        <v>2072913</v>
      </c>
      <c r="C428" s="1075">
        <v>20729133</v>
      </c>
      <c r="D428" s="1075" t="s">
        <v>2170</v>
      </c>
      <c r="E428" s="1075" t="s">
        <v>2348</v>
      </c>
      <c r="F428" s="1075">
        <v>996000</v>
      </c>
      <c r="G428" s="1075" t="s">
        <v>2107</v>
      </c>
      <c r="H428" s="1075">
        <v>90534</v>
      </c>
      <c r="I428" s="1075">
        <v>3</v>
      </c>
      <c r="J428" s="1075">
        <v>5</v>
      </c>
      <c r="K428" s="1075">
        <v>5</v>
      </c>
      <c r="L428" s="1075">
        <v>0</v>
      </c>
      <c r="M428" s="1075" t="s">
        <v>425</v>
      </c>
      <c r="N428" s="1075" t="s">
        <v>425</v>
      </c>
      <c r="O428" s="1077">
        <f t="shared" si="188"/>
        <v>0.23</v>
      </c>
      <c r="P428" s="1075">
        <v>23</v>
      </c>
      <c r="Q428" s="1074">
        <v>1186.75</v>
      </c>
      <c r="R428" s="1074">
        <v>0</v>
      </c>
      <c r="S428" s="1074">
        <v>0</v>
      </c>
      <c r="T428" s="1074">
        <v>1103.95</v>
      </c>
      <c r="U428" s="1074">
        <v>0</v>
      </c>
      <c r="V428" s="1074">
        <v>0</v>
      </c>
      <c r="W428" s="1074">
        <v>1103.95</v>
      </c>
      <c r="X428" s="1074">
        <v>0</v>
      </c>
      <c r="Y428" s="1074">
        <v>0</v>
      </c>
      <c r="Z428" s="1074">
        <v>0</v>
      </c>
      <c r="AA428" s="1074">
        <v>0</v>
      </c>
      <c r="AB428" s="1074">
        <v>82.8</v>
      </c>
      <c r="AC428" s="1074">
        <v>0</v>
      </c>
      <c r="AD428" s="1074">
        <v>0</v>
      </c>
      <c r="AE428" s="1074">
        <v>1996000</v>
      </c>
      <c r="AF428" s="1074" t="s">
        <v>251</v>
      </c>
      <c r="AG428" s="1095">
        <f>VLOOKUP(B428,עזר!A$2:B$329,2,FALSE)</f>
        <v>11339.65</v>
      </c>
      <c r="AH428" s="1074">
        <f t="shared" si="179"/>
        <v>3560.25</v>
      </c>
      <c r="AI428" s="1074">
        <f t="shared" si="180"/>
        <v>14899.9</v>
      </c>
      <c r="AJ428" s="1077">
        <f>VLOOKUP(B428,Sheet1!D$2:K$430,7,FALSE)</f>
        <v>0.23</v>
      </c>
      <c r="AK428" s="1074">
        <f>VLOOKUP(B428,Sheet1!D$2:L$430,8,FALSE)</f>
        <v>15787</v>
      </c>
      <c r="AL428" s="1109">
        <f t="shared" si="186"/>
        <v>0.23</v>
      </c>
      <c r="AM428" s="1074">
        <f t="shared" si="189"/>
        <v>15197.897999999999</v>
      </c>
      <c r="AN428" s="1085">
        <f t="shared" si="183"/>
        <v>0.23</v>
      </c>
      <c r="AO428" s="1074">
        <f t="shared" si="184"/>
        <v>15197.897999999999</v>
      </c>
      <c r="AP428" s="1080"/>
    </row>
    <row r="429" spans="1:42" outlineLevel="2" x14ac:dyDescent="0.2">
      <c r="A429" s="1075">
        <v>506</v>
      </c>
      <c r="B429" s="1078">
        <v>2086235</v>
      </c>
      <c r="C429" s="1075">
        <v>20862355</v>
      </c>
      <c r="D429" s="1075" t="s">
        <v>2138</v>
      </c>
      <c r="E429" s="1075" t="s">
        <v>2349</v>
      </c>
      <c r="F429" s="1075">
        <v>996000</v>
      </c>
      <c r="G429" s="1075" t="s">
        <v>2107</v>
      </c>
      <c r="H429" s="1075">
        <v>90534</v>
      </c>
      <c r="I429" s="1075">
        <v>3</v>
      </c>
      <c r="J429" s="1075">
        <v>11</v>
      </c>
      <c r="K429" s="1075">
        <v>2</v>
      </c>
      <c r="L429" s="1075">
        <v>0</v>
      </c>
      <c r="M429" s="1075" t="s">
        <v>425</v>
      </c>
      <c r="N429" s="1075" t="s">
        <v>425</v>
      </c>
      <c r="O429" s="1077">
        <f t="shared" si="188"/>
        <v>7.6999999999999999E-2</v>
      </c>
      <c r="P429" s="1075">
        <v>7.7</v>
      </c>
      <c r="Q429" s="1074">
        <v>2788.25</v>
      </c>
      <c r="R429" s="1074">
        <v>0</v>
      </c>
      <c r="S429" s="1074">
        <v>0</v>
      </c>
      <c r="T429" s="1074">
        <v>2784.85</v>
      </c>
      <c r="U429" s="1074">
        <v>0</v>
      </c>
      <c r="V429" s="1074">
        <v>0</v>
      </c>
      <c r="W429" s="1074">
        <v>2784.85</v>
      </c>
      <c r="X429" s="1074">
        <v>0</v>
      </c>
      <c r="Y429" s="1074">
        <v>0</v>
      </c>
      <c r="Z429" s="1074">
        <v>0</v>
      </c>
      <c r="AA429" s="1074">
        <v>0</v>
      </c>
      <c r="AB429" s="1074">
        <v>3.4</v>
      </c>
      <c r="AC429" s="1074">
        <v>0</v>
      </c>
      <c r="AD429" s="1074">
        <v>0</v>
      </c>
      <c r="AE429" s="1074">
        <v>1996000</v>
      </c>
      <c r="AF429" s="1074" t="s">
        <v>251</v>
      </c>
      <c r="AG429" s="1095">
        <f>VLOOKUP(B429,עזר!A$2:B$329,2,FALSE)</f>
        <v>19469.349999999999</v>
      </c>
      <c r="AH429" s="1074">
        <f t="shared" si="179"/>
        <v>8364.75</v>
      </c>
      <c r="AI429" s="1074">
        <f t="shared" si="180"/>
        <v>27834.1</v>
      </c>
      <c r="AJ429" s="1077">
        <v>0</v>
      </c>
      <c r="AK429" s="1074">
        <v>0</v>
      </c>
      <c r="AL429" s="1109">
        <f t="shared" si="186"/>
        <v>7.6999999999999999E-2</v>
      </c>
      <c r="AM429" s="1074">
        <f t="shared" si="189"/>
        <v>28390.781999999999</v>
      </c>
      <c r="AN429" s="1085">
        <f t="shared" si="183"/>
        <v>7.6999999999999999E-2</v>
      </c>
      <c r="AO429" s="1074">
        <f t="shared" si="184"/>
        <v>28390.781999999999</v>
      </c>
      <c r="AP429" s="1080"/>
    </row>
    <row r="430" spans="1:42" outlineLevel="2" x14ac:dyDescent="0.2">
      <c r="A430" s="1075">
        <v>506</v>
      </c>
      <c r="B430" s="1078">
        <v>2104122</v>
      </c>
      <c r="C430" s="1075">
        <v>21041223</v>
      </c>
      <c r="D430" s="1075" t="s">
        <v>2131</v>
      </c>
      <c r="E430" s="1075" t="s">
        <v>2350</v>
      </c>
      <c r="F430" s="1075">
        <v>996000</v>
      </c>
      <c r="G430" s="1075" t="s">
        <v>2107</v>
      </c>
      <c r="H430" s="1075">
        <v>90534</v>
      </c>
      <c r="I430" s="1075">
        <v>3</v>
      </c>
      <c r="J430" s="1075">
        <v>5</v>
      </c>
      <c r="K430" s="1075">
        <v>7</v>
      </c>
      <c r="L430" s="1075">
        <v>0</v>
      </c>
      <c r="M430" s="1075" t="s">
        <v>425</v>
      </c>
      <c r="N430" s="1075" t="s">
        <v>425</v>
      </c>
      <c r="O430" s="1077">
        <f t="shared" si="188"/>
        <v>0.24</v>
      </c>
      <c r="P430" s="1075">
        <v>24</v>
      </c>
      <c r="Q430" s="1074">
        <v>2483.9</v>
      </c>
      <c r="R430" s="1074">
        <v>0</v>
      </c>
      <c r="S430" s="1074">
        <v>0</v>
      </c>
      <c r="T430" s="1074">
        <v>2310.6</v>
      </c>
      <c r="U430" s="1074">
        <v>0</v>
      </c>
      <c r="V430" s="1074">
        <v>0</v>
      </c>
      <c r="W430" s="1074">
        <v>2310.6</v>
      </c>
      <c r="X430" s="1074">
        <v>0</v>
      </c>
      <c r="Y430" s="1074">
        <v>0</v>
      </c>
      <c r="Z430" s="1074">
        <v>0</v>
      </c>
      <c r="AA430" s="1074">
        <v>0</v>
      </c>
      <c r="AB430" s="1074">
        <v>173.3</v>
      </c>
      <c r="AC430" s="1074">
        <v>0</v>
      </c>
      <c r="AD430" s="1074">
        <v>0</v>
      </c>
      <c r="AE430" s="1074">
        <v>1996000</v>
      </c>
      <c r="AF430" s="1074" t="s">
        <v>251</v>
      </c>
      <c r="AG430" s="1095">
        <f>VLOOKUP(B430,עזר!A$2:B$329,2,FALSE)</f>
        <v>16574.95</v>
      </c>
      <c r="AH430" s="1074">
        <f t="shared" si="179"/>
        <v>7451.7000000000007</v>
      </c>
      <c r="AI430" s="1074">
        <f t="shared" si="180"/>
        <v>24026.65</v>
      </c>
      <c r="AJ430" s="1077">
        <f>VLOOKUP(B430,Sheet1!D$2:K$430,7,FALSE)</f>
        <v>0.24</v>
      </c>
      <c r="AK430" s="1074">
        <f>VLOOKUP(B430,Sheet1!D$2:L$430,8,FALSE)</f>
        <v>21232</v>
      </c>
      <c r="AL430" s="1109">
        <f t="shared" si="186"/>
        <v>0.24</v>
      </c>
      <c r="AM430" s="1074">
        <f t="shared" si="189"/>
        <v>24507.183000000001</v>
      </c>
      <c r="AN430" s="1085">
        <f t="shared" si="183"/>
        <v>0.24</v>
      </c>
      <c r="AO430" s="1074">
        <f t="shared" si="184"/>
        <v>24507.183000000001</v>
      </c>
      <c r="AP430" s="1080"/>
    </row>
    <row r="431" spans="1:42" outlineLevel="2" x14ac:dyDescent="0.2">
      <c r="A431" s="1075">
        <v>506</v>
      </c>
      <c r="B431" s="1078">
        <v>2114913</v>
      </c>
      <c r="C431" s="1075">
        <v>21149133</v>
      </c>
      <c r="D431" s="1075" t="s">
        <v>2216</v>
      </c>
      <c r="E431" s="1075" t="s">
        <v>1118</v>
      </c>
      <c r="F431" s="1075">
        <v>996000</v>
      </c>
      <c r="G431" s="1075" t="s">
        <v>2107</v>
      </c>
      <c r="H431" s="1075">
        <v>90534</v>
      </c>
      <c r="I431" s="1075">
        <v>3</v>
      </c>
      <c r="J431" s="1075">
        <v>5</v>
      </c>
      <c r="K431" s="1075">
        <v>38</v>
      </c>
      <c r="L431" s="1075">
        <v>0</v>
      </c>
      <c r="M431" s="1075" t="s">
        <v>425</v>
      </c>
      <c r="N431" s="1075" t="s">
        <v>425</v>
      </c>
      <c r="O431" s="1077">
        <f t="shared" si="188"/>
        <v>0.26200000000000001</v>
      </c>
      <c r="P431" s="1075">
        <v>26.2</v>
      </c>
      <c r="Q431" s="1074">
        <v>1484.95</v>
      </c>
      <c r="R431" s="1074">
        <v>0</v>
      </c>
      <c r="S431" s="1074">
        <v>0</v>
      </c>
      <c r="T431" s="1074">
        <v>1381.35</v>
      </c>
      <c r="U431" s="1074">
        <v>0</v>
      </c>
      <c r="V431" s="1074">
        <v>0</v>
      </c>
      <c r="W431" s="1074">
        <v>1381.35</v>
      </c>
      <c r="X431" s="1074">
        <v>0</v>
      </c>
      <c r="Y431" s="1074">
        <v>0</v>
      </c>
      <c r="Z431" s="1074">
        <v>0</v>
      </c>
      <c r="AA431" s="1074">
        <v>0</v>
      </c>
      <c r="AB431" s="1074">
        <v>103.6</v>
      </c>
      <c r="AC431" s="1074">
        <v>0</v>
      </c>
      <c r="AD431" s="1074">
        <v>0</v>
      </c>
      <c r="AE431" s="1074">
        <v>1996000</v>
      </c>
      <c r="AF431" s="1074" t="s">
        <v>251</v>
      </c>
      <c r="AG431" s="1095">
        <f>VLOOKUP(B431,עזר!A$2:B$329,2,FALSE)</f>
        <v>15165.4</v>
      </c>
      <c r="AH431" s="1074">
        <f t="shared" si="179"/>
        <v>4454.8500000000004</v>
      </c>
      <c r="AI431" s="1074">
        <f t="shared" si="180"/>
        <v>19620.25</v>
      </c>
      <c r="AJ431" s="1077">
        <f>VLOOKUP(B431,Sheet1!D$2:K$430,7,FALSE)</f>
        <v>0.26200000000000001</v>
      </c>
      <c r="AK431" s="1074">
        <f>VLOOKUP(B431,Sheet1!D$2:L$430,8,FALSE)</f>
        <v>19797</v>
      </c>
      <c r="AL431" s="1109">
        <f t="shared" si="186"/>
        <v>0.26200000000000001</v>
      </c>
      <c r="AM431" s="1074">
        <f t="shared" si="189"/>
        <v>20012.654999999999</v>
      </c>
      <c r="AN431" s="1085">
        <f t="shared" si="183"/>
        <v>0.26200000000000001</v>
      </c>
      <c r="AO431" s="1074">
        <f t="shared" si="184"/>
        <v>20012.654999999999</v>
      </c>
      <c r="AP431" s="1080"/>
    </row>
    <row r="432" spans="1:42" outlineLevel="2" x14ac:dyDescent="0.2">
      <c r="A432" s="1075">
        <v>506</v>
      </c>
      <c r="B432" s="1078">
        <v>2328691</v>
      </c>
      <c r="C432" s="1075">
        <v>23286917</v>
      </c>
      <c r="D432" s="1075" t="s">
        <v>2106</v>
      </c>
      <c r="E432" s="1075" t="s">
        <v>1424</v>
      </c>
      <c r="F432" s="1075">
        <v>996000</v>
      </c>
      <c r="G432" s="1075" t="s">
        <v>2107</v>
      </c>
      <c r="H432" s="1075">
        <v>90534</v>
      </c>
      <c r="I432" s="1075">
        <v>1</v>
      </c>
      <c r="J432" s="1075">
        <v>0</v>
      </c>
      <c r="K432" s="1075">
        <v>0</v>
      </c>
      <c r="L432" s="1075">
        <v>0</v>
      </c>
      <c r="M432" s="1075" t="s">
        <v>425</v>
      </c>
      <c r="N432" s="1075" t="s">
        <v>425</v>
      </c>
      <c r="O432" s="1077">
        <f t="shared" si="188"/>
        <v>0</v>
      </c>
      <c r="P432" s="1075">
        <v>0</v>
      </c>
      <c r="Q432" s="1074">
        <v>7852.45</v>
      </c>
      <c r="R432" s="1074">
        <v>0</v>
      </c>
      <c r="S432" s="1074">
        <v>0</v>
      </c>
      <c r="T432" s="1074">
        <v>0</v>
      </c>
      <c r="U432" s="1074">
        <v>0</v>
      </c>
      <c r="V432" s="1074">
        <v>0</v>
      </c>
      <c r="W432" s="1074">
        <v>0</v>
      </c>
      <c r="X432" s="1074">
        <v>0</v>
      </c>
      <c r="Y432" s="1074">
        <v>0</v>
      </c>
      <c r="Z432" s="1074">
        <v>0</v>
      </c>
      <c r="AA432" s="1074">
        <v>0</v>
      </c>
      <c r="AB432" s="1074">
        <v>547.85</v>
      </c>
      <c r="AC432" s="1074">
        <v>0</v>
      </c>
      <c r="AD432" s="1074">
        <v>0</v>
      </c>
      <c r="AE432" s="1074">
        <v>1996000</v>
      </c>
      <c r="AF432" s="1074" t="s">
        <v>251</v>
      </c>
      <c r="AG432" s="1095">
        <v>0</v>
      </c>
      <c r="AH432" s="1074">
        <f t="shared" ref="AH432:AH463" si="190">Q432*3</f>
        <v>23557.35</v>
      </c>
      <c r="AI432" s="1074">
        <f t="shared" ref="AI432:AI463" si="191">AH432+AG432</f>
        <v>23557.35</v>
      </c>
      <c r="AK432" s="1074"/>
      <c r="AL432" s="1109">
        <v>0.48</v>
      </c>
      <c r="AM432" s="1074">
        <v>50000</v>
      </c>
      <c r="AN432" s="1085">
        <f t="shared" ref="AN432:AN463" si="192">AL432</f>
        <v>0.48</v>
      </c>
      <c r="AO432" s="1074">
        <f t="shared" ref="AO432:AO463" si="193">AM432</f>
        <v>50000</v>
      </c>
      <c r="AP432" s="1080"/>
    </row>
    <row r="433" spans="1:42" outlineLevel="2" x14ac:dyDescent="0.2">
      <c r="A433" s="1075">
        <v>506</v>
      </c>
      <c r="B433" s="1078">
        <v>2346198</v>
      </c>
      <c r="C433" s="1075">
        <v>23461981</v>
      </c>
      <c r="D433" s="1075" t="s">
        <v>2117</v>
      </c>
      <c r="E433" s="1075" t="s">
        <v>2351</v>
      </c>
      <c r="F433" s="1075">
        <v>996000</v>
      </c>
      <c r="G433" s="1075" t="s">
        <v>2107</v>
      </c>
      <c r="H433" s="1075">
        <v>90534</v>
      </c>
      <c r="I433" s="1075">
        <v>3</v>
      </c>
      <c r="J433" s="1075">
        <v>77</v>
      </c>
      <c r="K433" s="1075">
        <v>70</v>
      </c>
      <c r="L433" s="1075">
        <v>0</v>
      </c>
      <c r="M433" s="1075" t="s">
        <v>425</v>
      </c>
      <c r="N433" s="1075" t="s">
        <v>425</v>
      </c>
      <c r="O433" s="1077">
        <f t="shared" si="188"/>
        <v>0.48200000000000004</v>
      </c>
      <c r="P433" s="1075">
        <v>48.2</v>
      </c>
      <c r="Q433" s="1074">
        <v>3378.5</v>
      </c>
      <c r="R433" s="1074">
        <v>0</v>
      </c>
      <c r="S433" s="1074">
        <v>0</v>
      </c>
      <c r="T433" s="1074">
        <v>3142.8</v>
      </c>
      <c r="U433" s="1074">
        <v>0</v>
      </c>
      <c r="V433" s="1074">
        <v>0</v>
      </c>
      <c r="W433" s="1074">
        <v>3142.8</v>
      </c>
      <c r="X433" s="1074">
        <v>0</v>
      </c>
      <c r="Y433" s="1074">
        <v>0</v>
      </c>
      <c r="Z433" s="1074">
        <v>0</v>
      </c>
      <c r="AA433" s="1074">
        <v>0</v>
      </c>
      <c r="AB433" s="1074">
        <v>235.7</v>
      </c>
      <c r="AC433" s="1074">
        <v>0</v>
      </c>
      <c r="AD433" s="1074">
        <v>0</v>
      </c>
      <c r="AE433" s="1074">
        <v>1996000</v>
      </c>
      <c r="AF433" s="1074" t="s">
        <v>251</v>
      </c>
      <c r="AG433" s="1095">
        <f>VLOOKUP(B433,עזר!A$2:B$329,2,FALSE)</f>
        <v>34316.199999999997</v>
      </c>
      <c r="AH433" s="1074">
        <f t="shared" si="190"/>
        <v>10135.5</v>
      </c>
      <c r="AI433" s="1074">
        <f t="shared" si="191"/>
        <v>44451.7</v>
      </c>
      <c r="AJ433" s="1077">
        <f>VLOOKUP(B433,Sheet1!D$2:K$430,7,FALSE)</f>
        <v>0.5</v>
      </c>
      <c r="AK433" s="1074">
        <f>VLOOKUP(B433,Sheet1!D$2:L$430,8,FALSE)</f>
        <v>111862</v>
      </c>
      <c r="AL433" s="1109">
        <f t="shared" si="186"/>
        <v>0.48200000000000004</v>
      </c>
      <c r="AM433" s="1074">
        <f t="shared" si="189"/>
        <v>45340.733999999997</v>
      </c>
      <c r="AN433" s="1085">
        <f t="shared" si="192"/>
        <v>0.48200000000000004</v>
      </c>
      <c r="AO433" s="1074">
        <f t="shared" si="193"/>
        <v>45340.733999999997</v>
      </c>
      <c r="AP433" s="1080"/>
    </row>
    <row r="434" spans="1:42" outlineLevel="2" x14ac:dyDescent="0.2">
      <c r="A434" s="1075">
        <v>506</v>
      </c>
      <c r="B434" s="1078">
        <v>2824827</v>
      </c>
      <c r="C434" s="1075">
        <v>28248276</v>
      </c>
      <c r="D434" s="1075" t="s">
        <v>1600</v>
      </c>
      <c r="E434" s="1075" t="s">
        <v>2352</v>
      </c>
      <c r="F434" s="1075">
        <v>996000</v>
      </c>
      <c r="G434" s="1075" t="s">
        <v>2107</v>
      </c>
      <c r="H434" s="1075">
        <v>90534</v>
      </c>
      <c r="I434" s="1075">
        <v>1</v>
      </c>
      <c r="J434" s="1075">
        <v>0</v>
      </c>
      <c r="K434" s="1075">
        <v>0</v>
      </c>
      <c r="L434" s="1075">
        <v>0</v>
      </c>
      <c r="M434" s="1075" t="s">
        <v>425</v>
      </c>
      <c r="N434" s="1075" t="s">
        <v>425</v>
      </c>
      <c r="O434" s="1077">
        <f t="shared" si="188"/>
        <v>0</v>
      </c>
      <c r="P434" s="1075">
        <v>0</v>
      </c>
      <c r="Q434" s="1074">
        <v>2056.35</v>
      </c>
      <c r="R434" s="1074">
        <v>0</v>
      </c>
      <c r="S434" s="1074">
        <v>1</v>
      </c>
      <c r="T434" s="1074">
        <v>1909.95</v>
      </c>
      <c r="U434" s="1074">
        <v>0</v>
      </c>
      <c r="V434" s="1074">
        <v>0</v>
      </c>
      <c r="W434" s="1074">
        <v>0</v>
      </c>
      <c r="X434" s="1074">
        <v>0</v>
      </c>
      <c r="Y434" s="1074">
        <v>0</v>
      </c>
      <c r="Z434" s="1074">
        <v>0</v>
      </c>
      <c r="AA434" s="1074">
        <v>1909.95</v>
      </c>
      <c r="AB434" s="1074">
        <v>145.4</v>
      </c>
      <c r="AC434" s="1074">
        <v>0</v>
      </c>
      <c r="AD434" s="1074">
        <v>0</v>
      </c>
      <c r="AE434" s="1074">
        <v>1996000</v>
      </c>
      <c r="AF434" s="1074" t="s">
        <v>251</v>
      </c>
      <c r="AG434" s="1095">
        <f>VLOOKUP(B434,עזר!A$2:B$329,2,FALSE)</f>
        <v>74579.38</v>
      </c>
      <c r="AH434" s="1074">
        <f t="shared" si="190"/>
        <v>6169.0499999999993</v>
      </c>
      <c r="AI434" s="1074">
        <f t="shared" si="191"/>
        <v>80748.430000000008</v>
      </c>
      <c r="AK434" s="1074"/>
      <c r="AL434" s="1109">
        <v>0.38</v>
      </c>
      <c r="AM434" s="1074">
        <v>45000</v>
      </c>
      <c r="AN434" s="1085">
        <f t="shared" si="192"/>
        <v>0.38</v>
      </c>
      <c r="AO434" s="1074">
        <f t="shared" si="193"/>
        <v>45000</v>
      </c>
      <c r="AP434" s="1080"/>
    </row>
    <row r="435" spans="1:42" outlineLevel="2" x14ac:dyDescent="0.2">
      <c r="A435" s="1075">
        <v>506</v>
      </c>
      <c r="B435" s="1078">
        <v>3529446</v>
      </c>
      <c r="C435" s="1075">
        <v>35294461</v>
      </c>
      <c r="D435" s="1075" t="s">
        <v>2176</v>
      </c>
      <c r="E435" s="1075" t="s">
        <v>2353</v>
      </c>
      <c r="F435" s="1075">
        <v>996000</v>
      </c>
      <c r="G435" s="1075" t="s">
        <v>2107</v>
      </c>
      <c r="H435" s="1075">
        <v>90534</v>
      </c>
      <c r="I435" s="1075">
        <v>3</v>
      </c>
      <c r="J435" s="1075">
        <v>5</v>
      </c>
      <c r="K435" s="1075">
        <v>8</v>
      </c>
      <c r="L435" s="1075">
        <v>0</v>
      </c>
      <c r="M435" s="1075" t="s">
        <v>425</v>
      </c>
      <c r="N435" s="1075" t="s">
        <v>425</v>
      </c>
      <c r="O435" s="1077">
        <f t="shared" si="188"/>
        <v>0.314</v>
      </c>
      <c r="P435" s="1075">
        <v>31.4</v>
      </c>
      <c r="Q435" s="1074">
        <v>1804.15</v>
      </c>
      <c r="R435" s="1074">
        <v>0</v>
      </c>
      <c r="S435" s="1074">
        <v>0</v>
      </c>
      <c r="T435" s="1074">
        <v>1678.3</v>
      </c>
      <c r="U435" s="1074">
        <v>0</v>
      </c>
      <c r="V435" s="1074">
        <v>0</v>
      </c>
      <c r="W435" s="1074">
        <v>1678.3</v>
      </c>
      <c r="X435" s="1074">
        <v>0</v>
      </c>
      <c r="Y435" s="1074">
        <v>0</v>
      </c>
      <c r="Z435" s="1074">
        <v>0</v>
      </c>
      <c r="AA435" s="1074">
        <v>0</v>
      </c>
      <c r="AB435" s="1074">
        <v>125.85</v>
      </c>
      <c r="AC435" s="1074">
        <v>0</v>
      </c>
      <c r="AD435" s="1074">
        <v>0</v>
      </c>
      <c r="AE435" s="1074">
        <v>1996000</v>
      </c>
      <c r="AF435" s="1074" t="s">
        <v>251</v>
      </c>
      <c r="AG435" s="1095">
        <f>VLOOKUP(B435,עזר!A$2:B$329,2,FALSE)</f>
        <v>18634.099999999999</v>
      </c>
      <c r="AH435" s="1074">
        <f t="shared" si="190"/>
        <v>5412.4500000000007</v>
      </c>
      <c r="AI435" s="1074">
        <f t="shared" si="191"/>
        <v>24046.55</v>
      </c>
      <c r="AJ435" s="1077">
        <f>VLOOKUP(B435,Sheet1!D$2:K$430,7,FALSE)</f>
        <v>0.32</v>
      </c>
      <c r="AK435" s="1074">
        <f>VLOOKUP(B435,Sheet1!D$2:L$430,8,FALSE)</f>
        <v>24046</v>
      </c>
      <c r="AL435" s="1109">
        <f t="shared" si="186"/>
        <v>0.314</v>
      </c>
      <c r="AM435" s="1074">
        <f t="shared" si="189"/>
        <v>24527.481</v>
      </c>
      <c r="AN435" s="1085">
        <f t="shared" si="192"/>
        <v>0.314</v>
      </c>
      <c r="AO435" s="1074">
        <f t="shared" si="193"/>
        <v>24527.481</v>
      </c>
      <c r="AP435" s="1080"/>
    </row>
    <row r="436" spans="1:42" outlineLevel="2" x14ac:dyDescent="0.2">
      <c r="A436" s="1075">
        <v>506</v>
      </c>
      <c r="B436" s="1078">
        <v>3532972</v>
      </c>
      <c r="C436" s="1075">
        <v>35329721</v>
      </c>
      <c r="D436" s="1075" t="s">
        <v>2131</v>
      </c>
      <c r="E436" s="1075" t="s">
        <v>2354</v>
      </c>
      <c r="F436" s="1075">
        <v>996000</v>
      </c>
      <c r="G436" s="1075" t="s">
        <v>2107</v>
      </c>
      <c r="H436" s="1075">
        <v>90534</v>
      </c>
      <c r="I436" s="1075">
        <v>3</v>
      </c>
      <c r="J436" s="1075">
        <v>3</v>
      </c>
      <c r="K436" s="1075">
        <v>13</v>
      </c>
      <c r="L436" s="1075">
        <v>0</v>
      </c>
      <c r="M436" s="1075" t="s">
        <v>425</v>
      </c>
      <c r="N436" s="1075" t="s">
        <v>425</v>
      </c>
      <c r="O436" s="1077">
        <f t="shared" si="188"/>
        <v>0.7</v>
      </c>
      <c r="P436" s="1075">
        <v>70</v>
      </c>
      <c r="Q436" s="1074">
        <v>18882.650000000001</v>
      </c>
      <c r="R436" s="1074">
        <v>0</v>
      </c>
      <c r="S436" s="1074">
        <v>0</v>
      </c>
      <c r="T436" s="1074">
        <v>17565.25</v>
      </c>
      <c r="U436" s="1074">
        <v>0</v>
      </c>
      <c r="V436" s="1074">
        <v>0</v>
      </c>
      <c r="W436" s="1074">
        <v>17565.25</v>
      </c>
      <c r="X436" s="1074">
        <v>0</v>
      </c>
      <c r="Y436" s="1074">
        <v>0</v>
      </c>
      <c r="Z436" s="1074">
        <v>0</v>
      </c>
      <c r="AA436" s="1074">
        <v>0</v>
      </c>
      <c r="AB436" s="1074">
        <v>1317.4</v>
      </c>
      <c r="AC436" s="1074">
        <v>0</v>
      </c>
      <c r="AD436" s="1074">
        <v>0</v>
      </c>
      <c r="AE436" s="1074">
        <v>1996000</v>
      </c>
      <c r="AF436" s="1074" t="s">
        <v>251</v>
      </c>
      <c r="AG436" s="1095">
        <f>VLOOKUP(B436,עזר!A$2:B$329,2,FALSE)</f>
        <v>130307.05</v>
      </c>
      <c r="AH436" s="1074">
        <f t="shared" si="190"/>
        <v>56647.950000000004</v>
      </c>
      <c r="AI436" s="1074">
        <f t="shared" si="191"/>
        <v>186955</v>
      </c>
      <c r="AJ436" s="1077">
        <f>VLOOKUP(B436,Sheet1!D$2:K$430,7,FALSE)</f>
        <v>0.7</v>
      </c>
      <c r="AK436" s="1074">
        <f>VLOOKUP(B436,Sheet1!D$2:L$430,8,FALSE)</f>
        <v>169405</v>
      </c>
      <c r="AL436" s="1109">
        <f t="shared" si="186"/>
        <v>0.7</v>
      </c>
      <c r="AM436" s="1074">
        <f t="shared" si="189"/>
        <v>190694.1</v>
      </c>
      <c r="AN436" s="1085">
        <f t="shared" si="192"/>
        <v>0.7</v>
      </c>
      <c r="AO436" s="1074">
        <f t="shared" si="193"/>
        <v>190694.1</v>
      </c>
      <c r="AP436" s="1080"/>
    </row>
    <row r="437" spans="1:42" outlineLevel="2" x14ac:dyDescent="0.2">
      <c r="A437" s="1075">
        <v>506</v>
      </c>
      <c r="B437" s="1078">
        <v>3533437</v>
      </c>
      <c r="C437" s="1075">
        <v>35334374</v>
      </c>
      <c r="D437" s="1075" t="s">
        <v>1390</v>
      </c>
      <c r="E437" s="1075" t="s">
        <v>2355</v>
      </c>
      <c r="F437" s="1075">
        <v>996000</v>
      </c>
      <c r="G437" s="1075" t="s">
        <v>2107</v>
      </c>
      <c r="H437" s="1075">
        <v>90534</v>
      </c>
      <c r="I437" s="1075">
        <v>3</v>
      </c>
      <c r="J437" s="1075">
        <v>5</v>
      </c>
      <c r="K437" s="1075">
        <v>16</v>
      </c>
      <c r="L437" s="1075">
        <v>0</v>
      </c>
      <c r="M437" s="1075" t="s">
        <v>425</v>
      </c>
      <c r="N437" s="1075" t="s">
        <v>425</v>
      </c>
      <c r="O437" s="1077">
        <f t="shared" si="188"/>
        <v>0.433</v>
      </c>
      <c r="P437" s="1075">
        <v>43.3</v>
      </c>
      <c r="Q437" s="1074">
        <v>4940.55</v>
      </c>
      <c r="R437" s="1074">
        <v>0</v>
      </c>
      <c r="S437" s="1074">
        <v>0</v>
      </c>
      <c r="T437" s="1074">
        <v>4595.8500000000004</v>
      </c>
      <c r="U437" s="1074">
        <v>0</v>
      </c>
      <c r="V437" s="1074">
        <v>0</v>
      </c>
      <c r="W437" s="1074">
        <v>4595.8500000000004</v>
      </c>
      <c r="X437" s="1074">
        <v>0</v>
      </c>
      <c r="Y437" s="1074">
        <v>0</v>
      </c>
      <c r="Z437" s="1074">
        <v>0</v>
      </c>
      <c r="AA437" s="1074">
        <v>0</v>
      </c>
      <c r="AB437" s="1074">
        <v>344.7</v>
      </c>
      <c r="AC437" s="1074">
        <v>0</v>
      </c>
      <c r="AD437" s="1074">
        <v>0</v>
      </c>
      <c r="AE437" s="1074">
        <v>1996000</v>
      </c>
      <c r="AF437" s="1074" t="s">
        <v>251</v>
      </c>
      <c r="AG437" s="1095">
        <f>VLOOKUP(B437,עזר!A$2:B$329,2,FALSE)</f>
        <v>47562.55</v>
      </c>
      <c r="AH437" s="1074">
        <f t="shared" si="190"/>
        <v>14821.650000000001</v>
      </c>
      <c r="AI437" s="1074">
        <f t="shared" si="191"/>
        <v>62384.200000000004</v>
      </c>
      <c r="AJ437" s="1077">
        <f>VLOOKUP(B437,Sheet1!D$2:K$430,7,FALSE)</f>
        <v>0.433</v>
      </c>
      <c r="AK437" s="1074">
        <f>VLOOKUP(B437,Sheet1!D$2:L$430,8,FALSE)</f>
        <v>62384</v>
      </c>
      <c r="AL437" s="1109">
        <f t="shared" si="186"/>
        <v>0.433</v>
      </c>
      <c r="AM437" s="1074">
        <f t="shared" si="189"/>
        <v>63631.884000000005</v>
      </c>
      <c r="AN437" s="1085">
        <f t="shared" si="192"/>
        <v>0.433</v>
      </c>
      <c r="AO437" s="1074">
        <f t="shared" si="193"/>
        <v>63631.884000000005</v>
      </c>
      <c r="AP437" s="1080"/>
    </row>
    <row r="438" spans="1:42" outlineLevel="2" x14ac:dyDescent="0.2">
      <c r="A438" s="1075">
        <v>506</v>
      </c>
      <c r="B438" s="1078">
        <v>3547802</v>
      </c>
      <c r="C438" s="1075">
        <v>35478023</v>
      </c>
      <c r="D438" s="1075" t="s">
        <v>1531</v>
      </c>
      <c r="E438" s="1075" t="s">
        <v>2356</v>
      </c>
      <c r="F438" s="1075">
        <v>996000</v>
      </c>
      <c r="G438" s="1075" t="s">
        <v>2107</v>
      </c>
      <c r="H438" s="1075">
        <v>90534</v>
      </c>
      <c r="I438" s="1075">
        <v>3</v>
      </c>
      <c r="J438" s="1075">
        <v>5</v>
      </c>
      <c r="K438" s="1075">
        <v>9</v>
      </c>
      <c r="L438" s="1075">
        <v>0</v>
      </c>
      <c r="M438" s="1075" t="s">
        <v>425</v>
      </c>
      <c r="N438" s="1075" t="s">
        <v>425</v>
      </c>
      <c r="O438" s="1077">
        <f t="shared" si="188"/>
        <v>0.33100000000000002</v>
      </c>
      <c r="P438" s="1075">
        <v>33.1</v>
      </c>
      <c r="Q438" s="1074">
        <v>3415.8</v>
      </c>
      <c r="R438" s="1074">
        <v>0</v>
      </c>
      <c r="S438" s="1074">
        <v>0</v>
      </c>
      <c r="T438" s="1074">
        <v>3177.5</v>
      </c>
      <c r="U438" s="1074">
        <v>0</v>
      </c>
      <c r="V438" s="1074">
        <v>0</v>
      </c>
      <c r="W438" s="1074">
        <v>3177.5</v>
      </c>
      <c r="X438" s="1074">
        <v>0</v>
      </c>
      <c r="Y438" s="1074">
        <v>0</v>
      </c>
      <c r="Z438" s="1074">
        <v>0</v>
      </c>
      <c r="AA438" s="1074">
        <v>0</v>
      </c>
      <c r="AB438" s="1074">
        <v>238.3</v>
      </c>
      <c r="AC438" s="1074">
        <v>0</v>
      </c>
      <c r="AD438" s="1074">
        <v>0</v>
      </c>
      <c r="AE438" s="1074">
        <v>1996000</v>
      </c>
      <c r="AF438" s="1074" t="s">
        <v>251</v>
      </c>
      <c r="AG438" s="1095">
        <f>VLOOKUP(B438,עזר!A$2:B$329,2,FALSE)</f>
        <v>23021.5</v>
      </c>
      <c r="AH438" s="1074">
        <f t="shared" si="190"/>
        <v>10247.400000000001</v>
      </c>
      <c r="AI438" s="1074">
        <f t="shared" si="191"/>
        <v>33268.9</v>
      </c>
      <c r="AJ438" s="1077">
        <f>VLOOKUP(B438,Sheet1!D$2:K$430,7,FALSE)</f>
        <v>0.33100000000000002</v>
      </c>
      <c r="AK438" s="1074">
        <f>VLOOKUP(B438,Sheet1!D$2:L$430,8,FALSE)</f>
        <v>29426</v>
      </c>
      <c r="AL438" s="1109">
        <f t="shared" si="186"/>
        <v>0.33100000000000002</v>
      </c>
      <c r="AM438" s="1074">
        <f t="shared" si="189"/>
        <v>33934.278000000006</v>
      </c>
      <c r="AN438" s="1085">
        <f t="shared" si="192"/>
        <v>0.33100000000000002</v>
      </c>
      <c r="AO438" s="1074">
        <f t="shared" si="193"/>
        <v>33934.278000000006</v>
      </c>
      <c r="AP438" s="1080"/>
    </row>
    <row r="439" spans="1:42" outlineLevel="2" x14ac:dyDescent="0.2">
      <c r="A439" s="1075">
        <v>506</v>
      </c>
      <c r="B439" s="1078">
        <v>5049194</v>
      </c>
      <c r="C439" s="1075">
        <v>50491943</v>
      </c>
      <c r="D439" s="1075" t="s">
        <v>2357</v>
      </c>
      <c r="E439" s="1075" t="s">
        <v>2358</v>
      </c>
      <c r="F439" s="1075">
        <v>996000</v>
      </c>
      <c r="G439" s="1075" t="s">
        <v>2107</v>
      </c>
      <c r="H439" s="1075">
        <v>90534</v>
      </c>
      <c r="I439" s="1075">
        <v>3</v>
      </c>
      <c r="J439" s="1075">
        <v>77</v>
      </c>
      <c r="K439" s="1075">
        <v>44</v>
      </c>
      <c r="L439" s="1075">
        <v>0</v>
      </c>
      <c r="M439" s="1075" t="s">
        <v>425</v>
      </c>
      <c r="N439" s="1075" t="s">
        <v>425</v>
      </c>
      <c r="O439" s="1077">
        <f t="shared" si="188"/>
        <v>0.40500000000000003</v>
      </c>
      <c r="P439" s="1075">
        <v>40.5</v>
      </c>
      <c r="Q439" s="1074">
        <v>5240.5</v>
      </c>
      <c r="R439" s="1074">
        <v>0</v>
      </c>
      <c r="S439" s="1074">
        <v>0</v>
      </c>
      <c r="T439" s="1074">
        <v>4874.8999999999996</v>
      </c>
      <c r="U439" s="1074">
        <v>0</v>
      </c>
      <c r="V439" s="1074">
        <v>0</v>
      </c>
      <c r="W439" s="1074">
        <v>4874.8999999999996</v>
      </c>
      <c r="X439" s="1074">
        <v>0</v>
      </c>
      <c r="Y439" s="1074">
        <v>0</v>
      </c>
      <c r="Z439" s="1074">
        <v>0</v>
      </c>
      <c r="AA439" s="1074">
        <v>0</v>
      </c>
      <c r="AB439" s="1074">
        <v>365.6</v>
      </c>
      <c r="AC439" s="1074">
        <v>0</v>
      </c>
      <c r="AD439" s="1074">
        <v>0</v>
      </c>
      <c r="AE439" s="1074">
        <v>1996000</v>
      </c>
      <c r="AF439" s="1074" t="s">
        <v>251</v>
      </c>
      <c r="AG439" s="1095">
        <f>VLOOKUP(B439,עזר!A$2:B$329,2,FALSE)</f>
        <v>50449.7</v>
      </c>
      <c r="AH439" s="1074">
        <f t="shared" si="190"/>
        <v>15721.5</v>
      </c>
      <c r="AI439" s="1074">
        <f t="shared" si="191"/>
        <v>66171.199999999997</v>
      </c>
      <c r="AJ439" s="1077">
        <f>VLOOKUP(B439,Sheet1!D$2:K$430,7,FALSE)</f>
        <v>0.4</v>
      </c>
      <c r="AK439" s="1074">
        <f>VLOOKUP(B439,Sheet1!D$2:L$430,8,FALSE)</f>
        <v>66172</v>
      </c>
      <c r="AL439" s="1109">
        <f t="shared" si="186"/>
        <v>0.40500000000000003</v>
      </c>
      <c r="AM439" s="1074">
        <f t="shared" si="189"/>
        <v>67494.623999999996</v>
      </c>
      <c r="AN439" s="1085">
        <f t="shared" si="192"/>
        <v>0.40500000000000003</v>
      </c>
      <c r="AO439" s="1074">
        <f t="shared" si="193"/>
        <v>67494.623999999996</v>
      </c>
      <c r="AP439" s="1080"/>
    </row>
    <row r="440" spans="1:42" outlineLevel="2" x14ac:dyDescent="0.2">
      <c r="A440" s="1075">
        <v>506</v>
      </c>
      <c r="B440" s="1078">
        <v>5078583</v>
      </c>
      <c r="C440" s="1075">
        <v>50785831</v>
      </c>
      <c r="D440" s="1075" t="s">
        <v>2230</v>
      </c>
      <c r="E440" s="1075" t="s">
        <v>2359</v>
      </c>
      <c r="F440" s="1075">
        <v>996000</v>
      </c>
      <c r="G440" s="1075" t="s">
        <v>2107</v>
      </c>
      <c r="H440" s="1075">
        <v>90534</v>
      </c>
      <c r="I440" s="1075">
        <v>3</v>
      </c>
      <c r="J440" s="1075">
        <v>5</v>
      </c>
      <c r="K440" s="1075">
        <v>10</v>
      </c>
      <c r="L440" s="1075">
        <v>0</v>
      </c>
      <c r="M440" s="1075" t="s">
        <v>425</v>
      </c>
      <c r="N440" s="1075" t="s">
        <v>425</v>
      </c>
      <c r="O440" s="1077">
        <f t="shared" si="188"/>
        <v>0.65</v>
      </c>
      <c r="P440" s="1075">
        <v>65</v>
      </c>
      <c r="Q440" s="1074">
        <v>3264.85</v>
      </c>
      <c r="R440" s="1074">
        <v>0</v>
      </c>
      <c r="S440" s="1074">
        <v>0</v>
      </c>
      <c r="T440" s="1074">
        <v>3264.85</v>
      </c>
      <c r="U440" s="1074">
        <v>0</v>
      </c>
      <c r="V440" s="1074">
        <v>0</v>
      </c>
      <c r="W440" s="1074">
        <v>3264.85</v>
      </c>
      <c r="X440" s="1074">
        <v>0</v>
      </c>
      <c r="Y440" s="1074">
        <v>0</v>
      </c>
      <c r="Z440" s="1074">
        <v>0</v>
      </c>
      <c r="AA440" s="1074">
        <v>0</v>
      </c>
      <c r="AB440" s="1074">
        <v>0</v>
      </c>
      <c r="AC440" s="1074">
        <v>0</v>
      </c>
      <c r="AD440" s="1074">
        <v>0</v>
      </c>
      <c r="AE440" s="1074">
        <v>1996000</v>
      </c>
      <c r="AF440" s="1074" t="s">
        <v>251</v>
      </c>
      <c r="AG440" s="1095">
        <f>VLOOKUP(B440,עזר!A$2:B$329,2,FALSE)</f>
        <v>33564.800000000003</v>
      </c>
      <c r="AH440" s="1074">
        <f t="shared" si="190"/>
        <v>9794.5499999999993</v>
      </c>
      <c r="AI440" s="1074">
        <f t="shared" si="191"/>
        <v>43359.350000000006</v>
      </c>
      <c r="AJ440" s="1077">
        <f>VLOOKUP(B440,Sheet1!D$2:K$430,7,FALSE)</f>
        <v>0.65</v>
      </c>
      <c r="AK440" s="1074">
        <f>VLOOKUP(B440,Sheet1!D$2:L$430,8,FALSE)</f>
        <v>43319</v>
      </c>
      <c r="AL440" s="1109">
        <f t="shared" si="186"/>
        <v>0.65</v>
      </c>
      <c r="AM440" s="1074">
        <f t="shared" si="189"/>
        <v>44226.537000000004</v>
      </c>
      <c r="AN440" s="1085">
        <f t="shared" si="192"/>
        <v>0.65</v>
      </c>
      <c r="AO440" s="1074">
        <f t="shared" si="193"/>
        <v>44226.537000000004</v>
      </c>
      <c r="AP440" s="1080"/>
    </row>
    <row r="441" spans="1:42" outlineLevel="2" x14ac:dyDescent="0.2">
      <c r="A441" s="1075">
        <v>506</v>
      </c>
      <c r="B441" s="1078">
        <v>5078925</v>
      </c>
      <c r="C441" s="1075">
        <v>50789254</v>
      </c>
      <c r="D441" s="1075" t="s">
        <v>2360</v>
      </c>
      <c r="E441" s="1075" t="s">
        <v>2361</v>
      </c>
      <c r="F441" s="1075">
        <v>996000</v>
      </c>
      <c r="G441" s="1075" t="s">
        <v>2107</v>
      </c>
      <c r="H441" s="1075">
        <v>90534</v>
      </c>
      <c r="I441" s="1075">
        <v>1</v>
      </c>
      <c r="J441" s="1075">
        <v>0</v>
      </c>
      <c r="K441" s="1075">
        <v>0</v>
      </c>
      <c r="L441" s="1075">
        <v>0</v>
      </c>
      <c r="M441" s="1075" t="s">
        <v>425</v>
      </c>
      <c r="N441" s="1075" t="s">
        <v>425</v>
      </c>
      <c r="O441" s="1077">
        <f t="shared" si="188"/>
        <v>0</v>
      </c>
      <c r="P441" s="1075">
        <v>0</v>
      </c>
      <c r="Q441" s="1074">
        <v>2595.8000000000002</v>
      </c>
      <c r="R441" s="1074">
        <v>0</v>
      </c>
      <c r="S441" s="1074">
        <v>0</v>
      </c>
      <c r="T441" s="1074">
        <v>0</v>
      </c>
      <c r="U441" s="1074">
        <v>0</v>
      </c>
      <c r="V441" s="1074">
        <v>0</v>
      </c>
      <c r="W441" s="1074">
        <v>0</v>
      </c>
      <c r="X441" s="1074">
        <v>0</v>
      </c>
      <c r="Y441" s="1074">
        <v>0</v>
      </c>
      <c r="Z441" s="1074">
        <v>0</v>
      </c>
      <c r="AA441" s="1074">
        <v>0</v>
      </c>
      <c r="AB441" s="1074">
        <v>181.1</v>
      </c>
      <c r="AC441" s="1074">
        <v>0</v>
      </c>
      <c r="AD441" s="1074">
        <v>0</v>
      </c>
      <c r="AE441" s="1074">
        <v>1996000</v>
      </c>
      <c r="AF441" s="1074" t="s">
        <v>251</v>
      </c>
      <c r="AG441" s="1095">
        <f>VLOOKUP(B441,עזר!A$2:B$329,2,FALSE)</f>
        <v>40158.240000000005</v>
      </c>
      <c r="AH441" s="1074">
        <f t="shared" si="190"/>
        <v>7787.4000000000005</v>
      </c>
      <c r="AI441" s="1074">
        <f t="shared" si="191"/>
        <v>47945.640000000007</v>
      </c>
      <c r="AJ441" s="1077">
        <f>VLOOKUP(B441,Sheet1!D$2:K$430,7,FALSE)</f>
        <v>0.43</v>
      </c>
      <c r="AK441" s="1074">
        <f>VLOOKUP(B441,Sheet1!D$2:L$430,8,FALSE)</f>
        <v>0</v>
      </c>
      <c r="AL441" s="1109">
        <v>0.38</v>
      </c>
      <c r="AM441" s="1074">
        <v>40000</v>
      </c>
      <c r="AN441" s="1085">
        <f t="shared" si="192"/>
        <v>0.38</v>
      </c>
      <c r="AO441" s="1074">
        <f t="shared" si="193"/>
        <v>40000</v>
      </c>
      <c r="AP441" s="1080"/>
    </row>
    <row r="442" spans="1:42" outlineLevel="2" x14ac:dyDescent="0.2">
      <c r="A442" s="1075">
        <v>506</v>
      </c>
      <c r="B442" s="1078">
        <v>5243431</v>
      </c>
      <c r="C442" s="1075">
        <v>52434313</v>
      </c>
      <c r="D442" s="1075" t="s">
        <v>2138</v>
      </c>
      <c r="E442" s="1075" t="s">
        <v>2362</v>
      </c>
      <c r="F442" s="1075">
        <v>996000</v>
      </c>
      <c r="G442" s="1075" t="s">
        <v>2107</v>
      </c>
      <c r="H442" s="1075">
        <v>90534</v>
      </c>
      <c r="I442" s="1075">
        <v>3</v>
      </c>
      <c r="J442" s="1075">
        <v>5</v>
      </c>
      <c r="K442" s="1075">
        <v>8</v>
      </c>
      <c r="L442" s="1075">
        <v>0</v>
      </c>
      <c r="M442" s="1075" t="s">
        <v>425</v>
      </c>
      <c r="N442" s="1075" t="s">
        <v>425</v>
      </c>
      <c r="O442" s="1077">
        <f t="shared" si="188"/>
        <v>8.8000000000000009E-2</v>
      </c>
      <c r="P442" s="1075">
        <v>8.8000000000000007</v>
      </c>
      <c r="Q442" s="1074">
        <v>437.8</v>
      </c>
      <c r="R442" s="1074">
        <v>0</v>
      </c>
      <c r="S442" s="1074">
        <v>0</v>
      </c>
      <c r="T442" s="1074">
        <v>407.25</v>
      </c>
      <c r="U442" s="1074">
        <v>0</v>
      </c>
      <c r="V442" s="1074">
        <v>0</v>
      </c>
      <c r="W442" s="1074">
        <v>407.25</v>
      </c>
      <c r="X442" s="1074">
        <v>0</v>
      </c>
      <c r="Y442" s="1074">
        <v>0</v>
      </c>
      <c r="Z442" s="1074">
        <v>0</v>
      </c>
      <c r="AA442" s="1074">
        <v>0</v>
      </c>
      <c r="AB442" s="1074">
        <v>30.55</v>
      </c>
      <c r="AC442" s="1074">
        <v>0</v>
      </c>
      <c r="AD442" s="1074">
        <v>0</v>
      </c>
      <c r="AE442" s="1074">
        <v>1996000</v>
      </c>
      <c r="AF442" s="1074" t="s">
        <v>251</v>
      </c>
      <c r="AG442" s="1095">
        <f>VLOOKUP(B442,עזר!A$2:B$329,2,FALSE)</f>
        <v>4102</v>
      </c>
      <c r="AH442" s="1074">
        <f t="shared" si="190"/>
        <v>1313.4</v>
      </c>
      <c r="AI442" s="1074">
        <f t="shared" si="191"/>
        <v>5415.4</v>
      </c>
      <c r="AJ442" s="1077">
        <f>VLOOKUP(B442,Sheet1!D$2:K$430,7,FALSE)</f>
        <v>0.09</v>
      </c>
      <c r="AK442" s="1074">
        <f>VLOOKUP(B442,Sheet1!D$2:L$430,8,FALSE)</f>
        <v>5677</v>
      </c>
      <c r="AL442" s="1109">
        <f t="shared" si="186"/>
        <v>8.8000000000000009E-2</v>
      </c>
      <c r="AM442" s="1074">
        <f t="shared" si="189"/>
        <v>5523.7079999999996</v>
      </c>
      <c r="AN442" s="1085">
        <f t="shared" si="192"/>
        <v>8.8000000000000009E-2</v>
      </c>
      <c r="AO442" s="1074">
        <f t="shared" si="193"/>
        <v>5523.7079999999996</v>
      </c>
      <c r="AP442" s="1080"/>
    </row>
    <row r="443" spans="1:42" outlineLevel="2" x14ac:dyDescent="0.2">
      <c r="A443" s="1075">
        <v>506</v>
      </c>
      <c r="B443" s="1078">
        <v>5250811</v>
      </c>
      <c r="C443" s="1075">
        <v>52508116</v>
      </c>
      <c r="D443" s="1075" t="s">
        <v>932</v>
      </c>
      <c r="E443" s="1075" t="s">
        <v>2363</v>
      </c>
      <c r="F443" s="1075">
        <v>996000</v>
      </c>
      <c r="G443" s="1075" t="s">
        <v>2107</v>
      </c>
      <c r="H443" s="1075">
        <v>90534</v>
      </c>
      <c r="I443" s="1075">
        <v>3</v>
      </c>
      <c r="J443" s="1075">
        <v>5</v>
      </c>
      <c r="K443" s="1075">
        <v>8</v>
      </c>
      <c r="L443" s="1075">
        <v>0</v>
      </c>
      <c r="M443" s="1075" t="s">
        <v>425</v>
      </c>
      <c r="N443" s="1075" t="s">
        <v>425</v>
      </c>
      <c r="O443" s="1077">
        <f t="shared" si="188"/>
        <v>0.26800000000000002</v>
      </c>
      <c r="P443" s="1075">
        <v>26.8</v>
      </c>
      <c r="Q443" s="1074">
        <v>1491.9</v>
      </c>
      <c r="R443" s="1074">
        <v>0</v>
      </c>
      <c r="S443" s="1074">
        <v>0</v>
      </c>
      <c r="T443" s="1074">
        <v>1387.8</v>
      </c>
      <c r="U443" s="1074">
        <v>0</v>
      </c>
      <c r="V443" s="1074">
        <v>0</v>
      </c>
      <c r="W443" s="1074">
        <v>1387.8</v>
      </c>
      <c r="X443" s="1074">
        <v>0</v>
      </c>
      <c r="Y443" s="1074">
        <v>0</v>
      </c>
      <c r="Z443" s="1074">
        <v>0</v>
      </c>
      <c r="AA443" s="1074">
        <v>0</v>
      </c>
      <c r="AB443" s="1074">
        <v>104.1</v>
      </c>
      <c r="AC443" s="1074">
        <v>0</v>
      </c>
      <c r="AD443" s="1074">
        <v>0</v>
      </c>
      <c r="AE443" s="1074">
        <v>1996000</v>
      </c>
      <c r="AF443" s="1074" t="s">
        <v>251</v>
      </c>
      <c r="AG443" s="1095">
        <f>VLOOKUP(B443,עזר!A$2:B$329,2,FALSE)</f>
        <v>15216</v>
      </c>
      <c r="AH443" s="1074">
        <f t="shared" si="190"/>
        <v>4475.7000000000007</v>
      </c>
      <c r="AI443" s="1074">
        <f t="shared" si="191"/>
        <v>19691.7</v>
      </c>
      <c r="AJ443" s="1077">
        <f>VLOOKUP(B443,Sheet1!D$2:K$430,7,FALSE)</f>
        <v>0.26800000000000002</v>
      </c>
      <c r="AK443" s="1074">
        <f>VLOOKUP(B443,Sheet1!D$2:L$430,8,FALSE)</f>
        <v>19691</v>
      </c>
      <c r="AL443" s="1109">
        <f t="shared" si="186"/>
        <v>0.26800000000000002</v>
      </c>
      <c r="AM443" s="1074">
        <f t="shared" si="189"/>
        <v>20085.534</v>
      </c>
      <c r="AN443" s="1085">
        <f t="shared" si="192"/>
        <v>0.26800000000000002</v>
      </c>
      <c r="AO443" s="1074">
        <f t="shared" si="193"/>
        <v>20085.534</v>
      </c>
      <c r="AP443" s="1080"/>
    </row>
    <row r="444" spans="1:42" outlineLevel="2" x14ac:dyDescent="0.2">
      <c r="A444" s="1075">
        <v>506</v>
      </c>
      <c r="B444" s="1078">
        <v>5250845</v>
      </c>
      <c r="C444" s="1075">
        <v>52508454</v>
      </c>
      <c r="D444" s="1075" t="s">
        <v>2230</v>
      </c>
      <c r="E444" s="1075" t="s">
        <v>2267</v>
      </c>
      <c r="F444" s="1075">
        <v>996000</v>
      </c>
      <c r="G444" s="1075" t="s">
        <v>2107</v>
      </c>
      <c r="H444" s="1075">
        <v>90534</v>
      </c>
      <c r="I444" s="1075">
        <v>3</v>
      </c>
      <c r="J444" s="1075">
        <v>72</v>
      </c>
      <c r="K444" s="1075">
        <v>42</v>
      </c>
      <c r="L444" s="1075">
        <v>0</v>
      </c>
      <c r="M444" s="1075" t="s">
        <v>425</v>
      </c>
      <c r="N444" s="1075" t="s">
        <v>425</v>
      </c>
      <c r="O444" s="1077">
        <f t="shared" si="188"/>
        <v>0.33799999999999997</v>
      </c>
      <c r="P444" s="1075">
        <v>33.799999999999997</v>
      </c>
      <c r="Q444" s="1074">
        <v>2565.0500000000002</v>
      </c>
      <c r="R444" s="1074">
        <v>0</v>
      </c>
      <c r="S444" s="1074">
        <v>0</v>
      </c>
      <c r="T444" s="1074">
        <v>2386.1</v>
      </c>
      <c r="U444" s="1074">
        <v>0</v>
      </c>
      <c r="V444" s="1074">
        <v>0</v>
      </c>
      <c r="W444" s="1074">
        <v>2386.1</v>
      </c>
      <c r="X444" s="1074">
        <v>0</v>
      </c>
      <c r="Y444" s="1074">
        <v>0</v>
      </c>
      <c r="Z444" s="1074">
        <v>0</v>
      </c>
      <c r="AA444" s="1074">
        <v>0</v>
      </c>
      <c r="AB444" s="1074">
        <v>178.95</v>
      </c>
      <c r="AC444" s="1074">
        <v>0</v>
      </c>
      <c r="AD444" s="1074">
        <v>0</v>
      </c>
      <c r="AE444" s="1074">
        <v>1996000</v>
      </c>
      <c r="AF444" s="1074" t="s">
        <v>251</v>
      </c>
      <c r="AG444" s="1095">
        <v>0</v>
      </c>
      <c r="AH444" s="1074">
        <f t="shared" si="190"/>
        <v>7695.1500000000005</v>
      </c>
      <c r="AI444" s="1074">
        <f t="shared" si="191"/>
        <v>7695.1500000000005</v>
      </c>
      <c r="AJ444" s="1077">
        <v>0.33</v>
      </c>
      <c r="AK444" s="1074">
        <v>35955</v>
      </c>
      <c r="AL444" s="1109">
        <v>0.48</v>
      </c>
      <c r="AM444" s="1074">
        <v>40000</v>
      </c>
      <c r="AN444" s="1085">
        <f t="shared" si="192"/>
        <v>0.48</v>
      </c>
      <c r="AO444" s="1074">
        <f t="shared" si="193"/>
        <v>40000</v>
      </c>
      <c r="AP444" s="1080"/>
    </row>
    <row r="445" spans="1:42" outlineLevel="2" x14ac:dyDescent="0.2">
      <c r="A445" s="1075">
        <v>506</v>
      </c>
      <c r="B445" s="1078">
        <v>5251624</v>
      </c>
      <c r="C445" s="1075">
        <v>52516242</v>
      </c>
      <c r="D445" s="1075" t="s">
        <v>932</v>
      </c>
      <c r="E445" s="1075" t="s">
        <v>2364</v>
      </c>
      <c r="F445" s="1075">
        <v>996000</v>
      </c>
      <c r="G445" s="1075" t="s">
        <v>2107</v>
      </c>
      <c r="H445" s="1075">
        <v>90534</v>
      </c>
      <c r="I445" s="1075">
        <v>3</v>
      </c>
      <c r="J445" s="1075">
        <v>5</v>
      </c>
      <c r="K445" s="1075">
        <v>8</v>
      </c>
      <c r="L445" s="1075">
        <v>0</v>
      </c>
      <c r="M445" s="1075" t="s">
        <v>425</v>
      </c>
      <c r="N445" s="1075" t="s">
        <v>425</v>
      </c>
      <c r="O445" s="1077">
        <f t="shared" si="188"/>
        <v>0.23600000000000002</v>
      </c>
      <c r="P445" s="1075">
        <v>23.6</v>
      </c>
      <c r="Q445" s="1074">
        <v>1304.3</v>
      </c>
      <c r="R445" s="1074">
        <v>0</v>
      </c>
      <c r="S445" s="1074">
        <v>0</v>
      </c>
      <c r="T445" s="1074">
        <v>1213.3</v>
      </c>
      <c r="U445" s="1074">
        <v>0</v>
      </c>
      <c r="V445" s="1074">
        <v>0</v>
      </c>
      <c r="W445" s="1074">
        <v>1213.3</v>
      </c>
      <c r="X445" s="1074">
        <v>0</v>
      </c>
      <c r="Y445" s="1074">
        <v>0</v>
      </c>
      <c r="Z445" s="1074">
        <v>0</v>
      </c>
      <c r="AA445" s="1074">
        <v>0</v>
      </c>
      <c r="AB445" s="1074">
        <v>91</v>
      </c>
      <c r="AC445" s="1074">
        <v>0</v>
      </c>
      <c r="AD445" s="1074">
        <v>0</v>
      </c>
      <c r="AE445" s="1074">
        <v>1996000</v>
      </c>
      <c r="AF445" s="1074" t="s">
        <v>251</v>
      </c>
      <c r="AG445" s="1095">
        <f>VLOOKUP(B445,עזר!A$2:B$329,2,FALSE)</f>
        <v>13370.25</v>
      </c>
      <c r="AH445" s="1074">
        <f t="shared" si="190"/>
        <v>3912.8999999999996</v>
      </c>
      <c r="AI445" s="1074">
        <f t="shared" si="191"/>
        <v>17283.150000000001</v>
      </c>
      <c r="AJ445" s="1077">
        <f>VLOOKUP(B445,Sheet1!D$2:K$430,7,FALSE)</f>
        <v>0.24</v>
      </c>
      <c r="AK445" s="1074">
        <f>VLOOKUP(B445,Sheet1!D$2:L$430,8,FALSE)</f>
        <v>16823</v>
      </c>
      <c r="AL445" s="1109">
        <f t="shared" si="186"/>
        <v>0.23600000000000002</v>
      </c>
      <c r="AM445" s="1074">
        <f t="shared" ref="AM445:AM469" si="194">AI445*1.02</f>
        <v>17628.813000000002</v>
      </c>
      <c r="AN445" s="1085">
        <f t="shared" si="192"/>
        <v>0.23600000000000002</v>
      </c>
      <c r="AO445" s="1074">
        <f t="shared" si="193"/>
        <v>17628.813000000002</v>
      </c>
      <c r="AP445" s="1080"/>
    </row>
    <row r="446" spans="1:42" outlineLevel="2" x14ac:dyDescent="0.2">
      <c r="A446" s="1075">
        <v>506</v>
      </c>
      <c r="B446" s="1078">
        <v>5440423</v>
      </c>
      <c r="C446" s="1075">
        <v>54404231</v>
      </c>
      <c r="D446" s="1075" t="s">
        <v>2138</v>
      </c>
      <c r="E446" s="1075" t="s">
        <v>2171</v>
      </c>
      <c r="F446" s="1075">
        <v>996000</v>
      </c>
      <c r="G446" s="1075" t="s">
        <v>2107</v>
      </c>
      <c r="H446" s="1075">
        <v>90534</v>
      </c>
      <c r="I446" s="1075">
        <v>3</v>
      </c>
      <c r="J446" s="1075">
        <v>5</v>
      </c>
      <c r="K446" s="1075">
        <v>39</v>
      </c>
      <c r="L446" s="1075">
        <v>0</v>
      </c>
      <c r="M446" s="1075" t="s">
        <v>425</v>
      </c>
      <c r="N446" s="1075" t="s">
        <v>425</v>
      </c>
      <c r="O446" s="1077">
        <f t="shared" si="188"/>
        <v>0.63400000000000001</v>
      </c>
      <c r="P446" s="1075">
        <v>63.4</v>
      </c>
      <c r="Q446" s="1074">
        <v>7540.2</v>
      </c>
      <c r="R446" s="1074">
        <v>0</v>
      </c>
      <c r="S446" s="1074">
        <v>0</v>
      </c>
      <c r="T446" s="1074">
        <v>7014.15</v>
      </c>
      <c r="U446" s="1074">
        <v>0</v>
      </c>
      <c r="V446" s="1074">
        <v>0</v>
      </c>
      <c r="W446" s="1074">
        <v>7014.15</v>
      </c>
      <c r="X446" s="1074">
        <v>0</v>
      </c>
      <c r="Y446" s="1074">
        <v>0</v>
      </c>
      <c r="Z446" s="1074">
        <v>0</v>
      </c>
      <c r="AA446" s="1074">
        <v>0</v>
      </c>
      <c r="AB446" s="1074">
        <v>526.04999999999995</v>
      </c>
      <c r="AC446" s="1074">
        <v>0</v>
      </c>
      <c r="AD446" s="1074">
        <v>0</v>
      </c>
      <c r="AE446" s="1074">
        <v>1996000</v>
      </c>
      <c r="AF446" s="1074" t="s">
        <v>251</v>
      </c>
      <c r="AG446" s="1095">
        <f>VLOOKUP(B446,עזר!A$2:B$329,2,FALSE)</f>
        <v>50687.65</v>
      </c>
      <c r="AH446" s="1074">
        <f t="shared" si="190"/>
        <v>22620.6</v>
      </c>
      <c r="AI446" s="1074">
        <f t="shared" si="191"/>
        <v>73308.25</v>
      </c>
      <c r="AJ446" s="1077">
        <f>VLOOKUP(B446,Sheet1!D$2:K$430,7,FALSE)</f>
        <v>0.63400000000000001</v>
      </c>
      <c r="AK446" s="1074">
        <f>VLOOKUP(B446,Sheet1!D$2:L$430,8,FALSE)</f>
        <v>64825</v>
      </c>
      <c r="AL446" s="1109">
        <f t="shared" si="186"/>
        <v>0.63400000000000001</v>
      </c>
      <c r="AM446" s="1074">
        <f t="shared" si="194"/>
        <v>74774.415000000008</v>
      </c>
      <c r="AN446" s="1085">
        <f t="shared" si="192"/>
        <v>0.63400000000000001</v>
      </c>
      <c r="AO446" s="1074">
        <f t="shared" si="193"/>
        <v>74774.415000000008</v>
      </c>
      <c r="AP446" s="1080"/>
    </row>
    <row r="447" spans="1:42" outlineLevel="2" x14ac:dyDescent="0.2">
      <c r="A447" s="1075">
        <v>506</v>
      </c>
      <c r="B447" s="1078">
        <v>5443083</v>
      </c>
      <c r="C447" s="1075">
        <v>54430830</v>
      </c>
      <c r="D447" s="1075" t="s">
        <v>1419</v>
      </c>
      <c r="E447" s="1075" t="s">
        <v>2283</v>
      </c>
      <c r="F447" s="1075">
        <v>996000</v>
      </c>
      <c r="G447" s="1075" t="s">
        <v>2107</v>
      </c>
      <c r="H447" s="1075">
        <v>90534</v>
      </c>
      <c r="I447" s="1075">
        <v>3</v>
      </c>
      <c r="J447" s="1075">
        <v>3</v>
      </c>
      <c r="K447" s="1075">
        <v>1</v>
      </c>
      <c r="L447" s="1075">
        <v>0</v>
      </c>
      <c r="M447" s="1075" t="s">
        <v>425</v>
      </c>
      <c r="N447" s="1075" t="s">
        <v>425</v>
      </c>
      <c r="O447" s="1077">
        <f t="shared" si="188"/>
        <v>0.53</v>
      </c>
      <c r="P447" s="1075">
        <v>53</v>
      </c>
      <c r="Q447" s="1074">
        <v>31872.02</v>
      </c>
      <c r="R447" s="1074">
        <v>0</v>
      </c>
      <c r="S447" s="1074">
        <v>0.9</v>
      </c>
      <c r="T447" s="1074">
        <v>14559.46</v>
      </c>
      <c r="U447" s="1074">
        <v>0</v>
      </c>
      <c r="V447" s="1074">
        <v>0</v>
      </c>
      <c r="W447" s="1074">
        <v>14559.46</v>
      </c>
      <c r="X447" s="1074">
        <v>0</v>
      </c>
      <c r="Y447" s="1074">
        <v>0</v>
      </c>
      <c r="Z447" s="1074">
        <v>0</v>
      </c>
      <c r="AA447" s="1074">
        <v>0</v>
      </c>
      <c r="AB447" s="1074">
        <v>2225.31</v>
      </c>
      <c r="AC447" s="1074">
        <v>0</v>
      </c>
      <c r="AD447" s="1074">
        <v>0</v>
      </c>
      <c r="AE447" s="1074">
        <v>1996000</v>
      </c>
      <c r="AF447" s="1074" t="s">
        <v>251</v>
      </c>
      <c r="AG447" s="1095">
        <v>0</v>
      </c>
      <c r="AH447" s="1074">
        <f t="shared" si="190"/>
        <v>95616.06</v>
      </c>
      <c r="AI447" s="1074">
        <f t="shared" si="191"/>
        <v>95616.06</v>
      </c>
      <c r="AJ447" s="1077">
        <f>VLOOKUP(B447,Sheet1!D$2:K$430,7,FALSE)</f>
        <v>0.53</v>
      </c>
      <c r="AK447" s="1074">
        <f>VLOOKUP(B447,Sheet1!D$2:L$430,8,FALSE)</f>
        <v>169058</v>
      </c>
      <c r="AL447" s="1109">
        <f t="shared" si="186"/>
        <v>0.53</v>
      </c>
      <c r="AM447" s="1074">
        <f t="shared" si="194"/>
        <v>97528.381200000003</v>
      </c>
      <c r="AN447" s="1085">
        <f t="shared" si="192"/>
        <v>0.53</v>
      </c>
      <c r="AO447" s="1074">
        <f t="shared" si="193"/>
        <v>97528.381200000003</v>
      </c>
      <c r="AP447" s="1080"/>
    </row>
    <row r="448" spans="1:42" outlineLevel="2" x14ac:dyDescent="0.2">
      <c r="A448" s="1075">
        <v>506</v>
      </c>
      <c r="B448" s="1078">
        <v>5481949</v>
      </c>
      <c r="C448" s="1075">
        <v>54819495</v>
      </c>
      <c r="D448" s="1075" t="s">
        <v>1374</v>
      </c>
      <c r="E448" s="1075" t="s">
        <v>2365</v>
      </c>
      <c r="F448" s="1075">
        <v>996000</v>
      </c>
      <c r="G448" s="1075" t="s">
        <v>2107</v>
      </c>
      <c r="H448" s="1075">
        <v>90534</v>
      </c>
      <c r="I448" s="1075">
        <v>3</v>
      </c>
      <c r="J448" s="1075">
        <v>5</v>
      </c>
      <c r="K448" s="1075">
        <v>11</v>
      </c>
      <c r="L448" s="1075">
        <v>0</v>
      </c>
      <c r="M448" s="1075" t="s">
        <v>425</v>
      </c>
      <c r="N448" s="1075" t="s">
        <v>425</v>
      </c>
      <c r="O448" s="1077">
        <f t="shared" si="188"/>
        <v>0.65500000000000003</v>
      </c>
      <c r="P448" s="1075">
        <v>65.5</v>
      </c>
      <c r="Q448" s="1074">
        <v>9328.15</v>
      </c>
      <c r="R448" s="1074">
        <v>0</v>
      </c>
      <c r="S448" s="1074">
        <v>0</v>
      </c>
      <c r="T448" s="1074">
        <v>8677.35</v>
      </c>
      <c r="U448" s="1074">
        <v>0</v>
      </c>
      <c r="V448" s="1074">
        <v>0</v>
      </c>
      <c r="W448" s="1074">
        <v>8677.35</v>
      </c>
      <c r="X448" s="1074">
        <v>0</v>
      </c>
      <c r="Y448" s="1074">
        <v>0</v>
      </c>
      <c r="Z448" s="1074">
        <v>0</v>
      </c>
      <c r="AA448" s="1074">
        <v>0</v>
      </c>
      <c r="AB448" s="1074">
        <v>650.79999999999995</v>
      </c>
      <c r="AC448" s="1074">
        <v>0</v>
      </c>
      <c r="AD448" s="1074">
        <v>0</v>
      </c>
      <c r="AE448" s="1074">
        <v>1996000</v>
      </c>
      <c r="AF448" s="1074" t="s">
        <v>251</v>
      </c>
      <c r="AG448" s="1095">
        <f>VLOOKUP(B448,עזר!A$2:B$329,2,FALSE)</f>
        <v>61595.25</v>
      </c>
      <c r="AH448" s="1074">
        <f t="shared" si="190"/>
        <v>27984.449999999997</v>
      </c>
      <c r="AI448" s="1074">
        <f t="shared" si="191"/>
        <v>89579.7</v>
      </c>
      <c r="AJ448" s="1077">
        <f>VLOOKUP(B448,Sheet1!D$2:K$430,7,FALSE)</f>
        <v>0.65500000000000003</v>
      </c>
      <c r="AK448" s="1074">
        <f>VLOOKUP(B448,Sheet1!D$2:L$430,8,FALSE)</f>
        <v>79086</v>
      </c>
      <c r="AL448" s="1109">
        <f t="shared" ref="AL448:AL469" si="195">O448</f>
        <v>0.65500000000000003</v>
      </c>
      <c r="AM448" s="1074">
        <f t="shared" si="194"/>
        <v>91371.293999999994</v>
      </c>
      <c r="AN448" s="1085">
        <f t="shared" si="192"/>
        <v>0.65500000000000003</v>
      </c>
      <c r="AO448" s="1074">
        <f t="shared" si="193"/>
        <v>91371.293999999994</v>
      </c>
      <c r="AP448" s="1080"/>
    </row>
    <row r="449" spans="1:42" outlineLevel="2" x14ac:dyDescent="0.2">
      <c r="A449" s="1075">
        <v>506</v>
      </c>
      <c r="B449" s="1078">
        <v>5515856</v>
      </c>
      <c r="C449" s="1075">
        <v>55158562</v>
      </c>
      <c r="D449" s="1075" t="s">
        <v>2366</v>
      </c>
      <c r="E449" s="1075" t="s">
        <v>2191</v>
      </c>
      <c r="F449" s="1075">
        <v>996000</v>
      </c>
      <c r="G449" s="1075" t="s">
        <v>2107</v>
      </c>
      <c r="H449" s="1075">
        <v>90534</v>
      </c>
      <c r="I449" s="1075">
        <v>3</v>
      </c>
      <c r="J449" s="1075">
        <v>5</v>
      </c>
      <c r="K449" s="1075">
        <v>38</v>
      </c>
      <c r="L449" s="1075">
        <v>0</v>
      </c>
      <c r="M449" s="1075" t="s">
        <v>425</v>
      </c>
      <c r="N449" s="1075" t="s">
        <v>425</v>
      </c>
      <c r="O449" s="1077">
        <f t="shared" si="188"/>
        <v>0.61599999999999999</v>
      </c>
      <c r="P449" s="1075">
        <v>61.6</v>
      </c>
      <c r="Q449" s="1074">
        <v>7313.7</v>
      </c>
      <c r="R449" s="1074">
        <v>0</v>
      </c>
      <c r="S449" s="1074">
        <v>0</v>
      </c>
      <c r="T449" s="1074">
        <v>6803.45</v>
      </c>
      <c r="U449" s="1074">
        <v>0</v>
      </c>
      <c r="V449" s="1074">
        <v>0</v>
      </c>
      <c r="W449" s="1074">
        <v>6803.45</v>
      </c>
      <c r="X449" s="1074">
        <v>0</v>
      </c>
      <c r="Y449" s="1074">
        <v>0</v>
      </c>
      <c r="Z449" s="1074">
        <v>0</v>
      </c>
      <c r="AA449" s="1074">
        <v>0</v>
      </c>
      <c r="AB449" s="1074">
        <v>510.25</v>
      </c>
      <c r="AC449" s="1074">
        <v>0</v>
      </c>
      <c r="AD449" s="1074">
        <v>0</v>
      </c>
      <c r="AE449" s="1074">
        <v>1996000</v>
      </c>
      <c r="AF449" s="1074" t="s">
        <v>251</v>
      </c>
      <c r="AG449" s="1095">
        <f>VLOOKUP(B449,עזר!A$2:B$329,2,FALSE)</f>
        <v>49173.8</v>
      </c>
      <c r="AH449" s="1074">
        <f t="shared" si="190"/>
        <v>21941.1</v>
      </c>
      <c r="AI449" s="1074">
        <f t="shared" si="191"/>
        <v>71114.899999999994</v>
      </c>
      <c r="AJ449" s="1077">
        <f>VLOOKUP(B449,Sheet1!D$2:K$430,7,FALSE)</f>
        <v>0.61599999999999999</v>
      </c>
      <c r="AK449" s="1074">
        <f>VLOOKUP(B449,Sheet1!D$2:L$430,8,FALSE)</f>
        <v>62887</v>
      </c>
      <c r="AL449" s="1109">
        <f t="shared" si="195"/>
        <v>0.61599999999999999</v>
      </c>
      <c r="AM449" s="1074">
        <f t="shared" si="194"/>
        <v>72537.197999999989</v>
      </c>
      <c r="AN449" s="1085">
        <f t="shared" si="192"/>
        <v>0.61599999999999999</v>
      </c>
      <c r="AO449" s="1074">
        <f t="shared" si="193"/>
        <v>72537.197999999989</v>
      </c>
      <c r="AP449" s="1080"/>
    </row>
    <row r="450" spans="1:42" outlineLevel="2" x14ac:dyDescent="0.2">
      <c r="A450" s="1075">
        <v>506</v>
      </c>
      <c r="B450" s="1078">
        <v>5515992</v>
      </c>
      <c r="C450" s="1075">
        <v>55159925</v>
      </c>
      <c r="D450" s="1075" t="s">
        <v>2138</v>
      </c>
      <c r="E450" s="1075" t="s">
        <v>2367</v>
      </c>
      <c r="F450" s="1075">
        <v>996000</v>
      </c>
      <c r="G450" s="1075" t="s">
        <v>2107</v>
      </c>
      <c r="H450" s="1075">
        <v>90534</v>
      </c>
      <c r="I450" s="1075">
        <v>3</v>
      </c>
      <c r="J450" s="1075">
        <v>74</v>
      </c>
      <c r="K450" s="1075">
        <v>46</v>
      </c>
      <c r="L450" s="1075">
        <v>0</v>
      </c>
      <c r="M450" s="1075" t="s">
        <v>425</v>
      </c>
      <c r="N450" s="1075" t="s">
        <v>425</v>
      </c>
      <c r="O450" s="1077">
        <f t="shared" si="188"/>
        <v>0.308</v>
      </c>
      <c r="P450" s="1075">
        <v>30.8</v>
      </c>
      <c r="Q450" s="1074">
        <v>4813.6000000000004</v>
      </c>
      <c r="R450" s="1074">
        <v>0</v>
      </c>
      <c r="S450" s="1074">
        <v>0</v>
      </c>
      <c r="T450" s="1074">
        <v>4477.75</v>
      </c>
      <c r="U450" s="1074">
        <v>0</v>
      </c>
      <c r="V450" s="1074">
        <v>0</v>
      </c>
      <c r="W450" s="1074">
        <v>4477.75</v>
      </c>
      <c r="X450" s="1074">
        <v>0</v>
      </c>
      <c r="Y450" s="1074">
        <v>0</v>
      </c>
      <c r="Z450" s="1074">
        <v>0</v>
      </c>
      <c r="AA450" s="1074">
        <v>0</v>
      </c>
      <c r="AB450" s="1074">
        <v>335.85</v>
      </c>
      <c r="AC450" s="1074">
        <v>0</v>
      </c>
      <c r="AD450" s="1074">
        <v>0</v>
      </c>
      <c r="AE450" s="1074">
        <v>1996000</v>
      </c>
      <c r="AF450" s="1074" t="s">
        <v>251</v>
      </c>
      <c r="AG450" s="1095">
        <f>VLOOKUP(B450,עזר!A$2:B$329,2,FALSE)</f>
        <v>45525.75</v>
      </c>
      <c r="AH450" s="1074">
        <f t="shared" si="190"/>
        <v>14440.800000000001</v>
      </c>
      <c r="AI450" s="1074">
        <f t="shared" si="191"/>
        <v>59966.55</v>
      </c>
      <c r="AJ450" s="1077">
        <f>VLOOKUP(B450,Sheet1!D$2:K$430,7,FALSE)</f>
        <v>0.308</v>
      </c>
      <c r="AK450" s="1074">
        <f>VLOOKUP(B450,Sheet1!D$2:L$430,8,FALSE)</f>
        <v>59967</v>
      </c>
      <c r="AL450" s="1109">
        <f t="shared" si="195"/>
        <v>0.308</v>
      </c>
      <c r="AM450" s="1074">
        <f t="shared" si="194"/>
        <v>61165.881000000001</v>
      </c>
      <c r="AN450" s="1085">
        <f t="shared" si="192"/>
        <v>0.308</v>
      </c>
      <c r="AO450" s="1074">
        <f t="shared" si="193"/>
        <v>61165.881000000001</v>
      </c>
      <c r="AP450" s="1080"/>
    </row>
    <row r="451" spans="1:42" outlineLevel="2" x14ac:dyDescent="0.2">
      <c r="A451" s="1075">
        <v>506</v>
      </c>
      <c r="B451" s="1078">
        <v>5575110</v>
      </c>
      <c r="C451" s="1075">
        <v>55751101</v>
      </c>
      <c r="D451" s="1075" t="s">
        <v>1329</v>
      </c>
      <c r="E451" s="1075" t="s">
        <v>2368</v>
      </c>
      <c r="F451" s="1075">
        <v>996000</v>
      </c>
      <c r="G451" s="1075" t="s">
        <v>2107</v>
      </c>
      <c r="H451" s="1075">
        <v>90534</v>
      </c>
      <c r="I451" s="1075">
        <v>3</v>
      </c>
      <c r="J451" s="1075">
        <v>5</v>
      </c>
      <c r="K451" s="1075">
        <v>8</v>
      </c>
      <c r="L451" s="1075">
        <v>0</v>
      </c>
      <c r="M451" s="1075" t="s">
        <v>425</v>
      </c>
      <c r="N451" s="1075" t="s">
        <v>425</v>
      </c>
      <c r="O451" s="1077">
        <f t="shared" si="188"/>
        <v>0.128</v>
      </c>
      <c r="P451" s="1075">
        <v>12.8</v>
      </c>
      <c r="Q451" s="1074">
        <v>696.3</v>
      </c>
      <c r="R451" s="1074">
        <v>0</v>
      </c>
      <c r="S451" s="1074">
        <v>0</v>
      </c>
      <c r="T451" s="1074">
        <v>647.70000000000005</v>
      </c>
      <c r="U451" s="1074">
        <v>0</v>
      </c>
      <c r="V451" s="1074">
        <v>0</v>
      </c>
      <c r="W451" s="1074">
        <v>647.70000000000005</v>
      </c>
      <c r="X451" s="1074">
        <v>0</v>
      </c>
      <c r="Y451" s="1074">
        <v>0</v>
      </c>
      <c r="Z451" s="1074">
        <v>0</v>
      </c>
      <c r="AA451" s="1074">
        <v>0</v>
      </c>
      <c r="AB451" s="1074">
        <v>48.6</v>
      </c>
      <c r="AC451" s="1074">
        <v>0</v>
      </c>
      <c r="AD451" s="1074">
        <v>0</v>
      </c>
      <c r="AE451" s="1074">
        <v>1996000</v>
      </c>
      <c r="AF451" s="1074" t="s">
        <v>251</v>
      </c>
      <c r="AG451" s="1095">
        <f>VLOOKUP(B451,עזר!A$2:B$329,2,FALSE)</f>
        <v>7148.75</v>
      </c>
      <c r="AH451" s="1074">
        <f t="shared" si="190"/>
        <v>2088.8999999999996</v>
      </c>
      <c r="AI451" s="1074">
        <f t="shared" si="191"/>
        <v>9237.65</v>
      </c>
      <c r="AJ451" s="1077">
        <f>VLOOKUP(B451,Sheet1!D$2:K$430,7,FALSE)</f>
        <v>0.13</v>
      </c>
      <c r="AK451" s="1074">
        <f>VLOOKUP(B451,Sheet1!D$2:L$430,8,FALSE)</f>
        <v>9238</v>
      </c>
      <c r="AL451" s="1109">
        <f t="shared" si="195"/>
        <v>0.128</v>
      </c>
      <c r="AM451" s="1074">
        <f t="shared" si="194"/>
        <v>9422.4030000000002</v>
      </c>
      <c r="AN451" s="1085">
        <f t="shared" si="192"/>
        <v>0.128</v>
      </c>
      <c r="AO451" s="1074">
        <f t="shared" si="193"/>
        <v>9422.4030000000002</v>
      </c>
      <c r="AP451" s="1080"/>
    </row>
    <row r="452" spans="1:42" outlineLevel="2" x14ac:dyDescent="0.2">
      <c r="A452" s="1075">
        <v>506</v>
      </c>
      <c r="B452" s="1078">
        <v>5581656</v>
      </c>
      <c r="C452" s="1075">
        <v>55816565</v>
      </c>
      <c r="D452" s="1075" t="s">
        <v>2173</v>
      </c>
      <c r="E452" s="1075" t="s">
        <v>2369</v>
      </c>
      <c r="F452" s="1075">
        <v>996000</v>
      </c>
      <c r="G452" s="1075" t="s">
        <v>2107</v>
      </c>
      <c r="H452" s="1075">
        <v>90534</v>
      </c>
      <c r="I452" s="1075">
        <v>3</v>
      </c>
      <c r="J452" s="1075">
        <v>5</v>
      </c>
      <c r="K452" s="1075">
        <v>39</v>
      </c>
      <c r="L452" s="1075">
        <v>0</v>
      </c>
      <c r="M452" s="1075" t="s">
        <v>425</v>
      </c>
      <c r="N452" s="1075" t="s">
        <v>425</v>
      </c>
      <c r="O452" s="1077">
        <f t="shared" si="188"/>
        <v>0.66900000000000004</v>
      </c>
      <c r="P452" s="1075">
        <v>66.900000000000006</v>
      </c>
      <c r="Q452" s="1074">
        <v>7597.3</v>
      </c>
      <c r="R452" s="1074">
        <v>0</v>
      </c>
      <c r="S452" s="1074">
        <v>0</v>
      </c>
      <c r="T452" s="1074">
        <v>7067.25</v>
      </c>
      <c r="U452" s="1074">
        <v>0</v>
      </c>
      <c r="V452" s="1074">
        <v>0</v>
      </c>
      <c r="W452" s="1074">
        <v>7067.25</v>
      </c>
      <c r="X452" s="1074">
        <v>0</v>
      </c>
      <c r="Y452" s="1074">
        <v>0</v>
      </c>
      <c r="Z452" s="1074">
        <v>0</v>
      </c>
      <c r="AA452" s="1074">
        <v>0</v>
      </c>
      <c r="AB452" s="1074">
        <v>530.04999999999995</v>
      </c>
      <c r="AC452" s="1074">
        <v>0</v>
      </c>
      <c r="AD452" s="1074">
        <v>0</v>
      </c>
      <c r="AE452" s="1074">
        <v>1996000</v>
      </c>
      <c r="AF452" s="1074" t="s">
        <v>251</v>
      </c>
      <c r="AG452" s="1095">
        <f>VLOOKUP(B452,עזר!A$2:B$329,2,FALSE)</f>
        <v>51330.65</v>
      </c>
      <c r="AH452" s="1074">
        <f t="shared" si="190"/>
        <v>22791.9</v>
      </c>
      <c r="AI452" s="1074">
        <f t="shared" si="191"/>
        <v>74122.55</v>
      </c>
      <c r="AJ452" s="1077">
        <f>VLOOKUP(B452,Sheet1!D$2:K$430,7,FALSE)</f>
        <v>0.67</v>
      </c>
      <c r="AK452" s="1074">
        <f>VLOOKUP(B452,Sheet1!D$2:L$430,8,FALSE)</f>
        <v>135079</v>
      </c>
      <c r="AL452" s="1109">
        <f t="shared" si="195"/>
        <v>0.66900000000000004</v>
      </c>
      <c r="AM452" s="1074">
        <f t="shared" si="194"/>
        <v>75605.001000000004</v>
      </c>
      <c r="AN452" s="1085">
        <f t="shared" si="192"/>
        <v>0.66900000000000004</v>
      </c>
      <c r="AO452" s="1074">
        <f t="shared" si="193"/>
        <v>75605.001000000004</v>
      </c>
      <c r="AP452" s="1080"/>
    </row>
    <row r="453" spans="1:42" outlineLevel="2" x14ac:dyDescent="0.2">
      <c r="A453" s="1075">
        <v>506</v>
      </c>
      <c r="B453" s="1078">
        <v>5581774</v>
      </c>
      <c r="C453" s="1075">
        <v>55817746</v>
      </c>
      <c r="D453" s="1075" t="s">
        <v>2190</v>
      </c>
      <c r="E453" s="1075" t="s">
        <v>2289</v>
      </c>
      <c r="F453" s="1075">
        <v>996000</v>
      </c>
      <c r="G453" s="1075" t="s">
        <v>2107</v>
      </c>
      <c r="H453" s="1075">
        <v>90534</v>
      </c>
      <c r="I453" s="1075">
        <v>1</v>
      </c>
      <c r="J453" s="1075">
        <v>0</v>
      </c>
      <c r="K453" s="1075">
        <v>0</v>
      </c>
      <c r="L453" s="1075">
        <v>0</v>
      </c>
      <c r="M453" s="1075" t="s">
        <v>425</v>
      </c>
      <c r="N453" s="1075" t="s">
        <v>425</v>
      </c>
      <c r="O453" s="1077">
        <f t="shared" si="188"/>
        <v>0</v>
      </c>
      <c r="P453" s="1075">
        <v>0</v>
      </c>
      <c r="Q453" s="1074">
        <v>3364.6</v>
      </c>
      <c r="R453" s="1074">
        <v>0</v>
      </c>
      <c r="S453" s="1074">
        <v>0</v>
      </c>
      <c r="T453" s="1074">
        <v>3129.85</v>
      </c>
      <c r="U453" s="1074">
        <v>0</v>
      </c>
      <c r="V453" s="1074">
        <v>0</v>
      </c>
      <c r="W453" s="1074">
        <v>0</v>
      </c>
      <c r="X453" s="1074">
        <v>0</v>
      </c>
      <c r="Y453" s="1074">
        <v>0</v>
      </c>
      <c r="Z453" s="1074">
        <v>0</v>
      </c>
      <c r="AA453" s="1074">
        <v>3129.85</v>
      </c>
      <c r="AB453" s="1074">
        <v>234.75</v>
      </c>
      <c r="AC453" s="1074">
        <v>0</v>
      </c>
      <c r="AD453" s="1074">
        <v>0</v>
      </c>
      <c r="AE453" s="1074">
        <v>1996000</v>
      </c>
      <c r="AF453" s="1074" t="s">
        <v>251</v>
      </c>
      <c r="AG453" s="1095">
        <f>VLOOKUP(B453,עזר!A$2:B$329,2,FALSE)</f>
        <v>50375.46</v>
      </c>
      <c r="AH453" s="1074">
        <f t="shared" si="190"/>
        <v>10093.799999999999</v>
      </c>
      <c r="AI453" s="1074">
        <f t="shared" si="191"/>
        <v>60469.259999999995</v>
      </c>
      <c r="AK453" s="1074"/>
      <c r="AL453" s="1109">
        <v>0.35</v>
      </c>
      <c r="AM453" s="1074">
        <v>40000</v>
      </c>
      <c r="AN453" s="1085">
        <f t="shared" si="192"/>
        <v>0.35</v>
      </c>
      <c r="AO453" s="1074">
        <f t="shared" si="193"/>
        <v>40000</v>
      </c>
      <c r="AP453" s="1080"/>
    </row>
    <row r="454" spans="1:42" outlineLevel="2" x14ac:dyDescent="0.2">
      <c r="A454" s="1075">
        <v>506</v>
      </c>
      <c r="B454" s="1078">
        <v>5625907</v>
      </c>
      <c r="C454" s="1075">
        <v>56259070</v>
      </c>
      <c r="D454" s="1075" t="s">
        <v>2112</v>
      </c>
      <c r="E454" s="1075" t="s">
        <v>2370</v>
      </c>
      <c r="F454" s="1075">
        <v>996000</v>
      </c>
      <c r="G454" s="1075" t="s">
        <v>2107</v>
      </c>
      <c r="H454" s="1075">
        <v>90534</v>
      </c>
      <c r="I454" s="1075">
        <v>3</v>
      </c>
      <c r="J454" s="1075">
        <v>72</v>
      </c>
      <c r="K454" s="1075">
        <v>74</v>
      </c>
      <c r="L454" s="1075">
        <v>0</v>
      </c>
      <c r="M454" s="1075" t="s">
        <v>425</v>
      </c>
      <c r="N454" s="1075" t="s">
        <v>425</v>
      </c>
      <c r="O454" s="1077">
        <f t="shared" si="188"/>
        <v>0.64</v>
      </c>
      <c r="P454" s="1075">
        <v>64</v>
      </c>
      <c r="Q454" s="1074">
        <v>14567.95</v>
      </c>
      <c r="R454" s="1074">
        <v>0</v>
      </c>
      <c r="S454" s="1074">
        <v>0</v>
      </c>
      <c r="T454" s="1074">
        <v>13551.6</v>
      </c>
      <c r="U454" s="1074">
        <v>0</v>
      </c>
      <c r="V454" s="1074">
        <v>0</v>
      </c>
      <c r="W454" s="1074">
        <v>13551.6</v>
      </c>
      <c r="X454" s="1074">
        <v>0</v>
      </c>
      <c r="Y454" s="1074">
        <v>0</v>
      </c>
      <c r="Z454" s="1074">
        <v>0</v>
      </c>
      <c r="AA454" s="1074">
        <v>0</v>
      </c>
      <c r="AB454" s="1074">
        <v>1016.35</v>
      </c>
      <c r="AC454" s="1074">
        <v>0</v>
      </c>
      <c r="AD454" s="1074">
        <v>0</v>
      </c>
      <c r="AE454" s="1074">
        <v>1996000</v>
      </c>
      <c r="AF454" s="1074" t="s">
        <v>251</v>
      </c>
      <c r="AG454" s="1095">
        <f>VLOOKUP(B454,עזר!A$2:B$329,2,FALSE)</f>
        <v>93009.35</v>
      </c>
      <c r="AH454" s="1074">
        <f t="shared" si="190"/>
        <v>43703.850000000006</v>
      </c>
      <c r="AI454" s="1074">
        <f t="shared" si="191"/>
        <v>136713.20000000001</v>
      </c>
      <c r="AJ454" s="1077">
        <f>VLOOKUP(B454,Sheet1!D$2:K$430,7,FALSE)</f>
        <v>0.64</v>
      </c>
      <c r="AK454" s="1074">
        <f>VLOOKUP(B454,Sheet1!D$2:L$430,8,FALSE)</f>
        <v>120363</v>
      </c>
      <c r="AL454" s="1109">
        <f t="shared" si="195"/>
        <v>0.64</v>
      </c>
      <c r="AM454" s="1074">
        <f t="shared" si="194"/>
        <v>139447.46400000001</v>
      </c>
      <c r="AN454" s="1085">
        <f t="shared" si="192"/>
        <v>0.64</v>
      </c>
      <c r="AO454" s="1074">
        <f t="shared" si="193"/>
        <v>139447.46400000001</v>
      </c>
      <c r="AP454" s="1080"/>
    </row>
    <row r="455" spans="1:42" outlineLevel="2" x14ac:dyDescent="0.2">
      <c r="A455" s="1075">
        <v>506</v>
      </c>
      <c r="B455" s="1078">
        <v>5625919</v>
      </c>
      <c r="C455" s="1075">
        <v>56259195</v>
      </c>
      <c r="D455" s="1075" t="s">
        <v>2180</v>
      </c>
      <c r="E455" s="1075" t="s">
        <v>2371</v>
      </c>
      <c r="F455" s="1075">
        <v>996000</v>
      </c>
      <c r="G455" s="1075" t="s">
        <v>2107</v>
      </c>
      <c r="H455" s="1075">
        <v>90534</v>
      </c>
      <c r="I455" s="1075">
        <v>3</v>
      </c>
      <c r="J455" s="1075">
        <v>5</v>
      </c>
      <c r="K455" s="1075">
        <v>8</v>
      </c>
      <c r="L455" s="1075">
        <v>0</v>
      </c>
      <c r="M455" s="1075" t="s">
        <v>425</v>
      </c>
      <c r="N455" s="1075" t="s">
        <v>425</v>
      </c>
      <c r="O455" s="1077">
        <f t="shared" si="188"/>
        <v>0.36499999999999999</v>
      </c>
      <c r="P455" s="1075">
        <v>36.5</v>
      </c>
      <c r="Q455" s="1074">
        <v>2242.65</v>
      </c>
      <c r="R455" s="1074">
        <v>0</v>
      </c>
      <c r="S455" s="1074">
        <v>0</v>
      </c>
      <c r="T455" s="1074">
        <v>2086.1999999999998</v>
      </c>
      <c r="U455" s="1074">
        <v>0</v>
      </c>
      <c r="V455" s="1074">
        <v>0</v>
      </c>
      <c r="W455" s="1074">
        <v>2086.1999999999998</v>
      </c>
      <c r="X455" s="1074">
        <v>0</v>
      </c>
      <c r="Y455" s="1074">
        <v>0</v>
      </c>
      <c r="Z455" s="1074">
        <v>0</v>
      </c>
      <c r="AA455" s="1074">
        <v>0</v>
      </c>
      <c r="AB455" s="1074">
        <v>156.44999999999999</v>
      </c>
      <c r="AC455" s="1074">
        <v>0</v>
      </c>
      <c r="AD455" s="1074">
        <v>0</v>
      </c>
      <c r="AE455" s="1074">
        <v>1996000</v>
      </c>
      <c r="AF455" s="1074" t="s">
        <v>251</v>
      </c>
      <c r="AG455" s="1095">
        <f>VLOOKUP(B455,עזר!A$2:B$329,2,FALSE)</f>
        <v>22795.1</v>
      </c>
      <c r="AH455" s="1074">
        <f t="shared" si="190"/>
        <v>6727.9500000000007</v>
      </c>
      <c r="AI455" s="1074">
        <f t="shared" si="191"/>
        <v>29523.05</v>
      </c>
      <c r="AJ455" s="1077">
        <f>VLOOKUP(B455,Sheet1!D$2:K$430,7,FALSE)</f>
        <v>0.36499999999999999</v>
      </c>
      <c r="AK455" s="1074">
        <f>VLOOKUP(B455,Sheet1!D$2:L$430,8,FALSE)</f>
        <v>29523</v>
      </c>
      <c r="AL455" s="1109">
        <f t="shared" si="195"/>
        <v>0.36499999999999999</v>
      </c>
      <c r="AM455" s="1074">
        <f t="shared" si="194"/>
        <v>30113.510999999999</v>
      </c>
      <c r="AN455" s="1085">
        <f t="shared" si="192"/>
        <v>0.36499999999999999</v>
      </c>
      <c r="AO455" s="1074">
        <f t="shared" si="193"/>
        <v>30113.510999999999</v>
      </c>
      <c r="AP455" s="1080"/>
    </row>
    <row r="456" spans="1:42" outlineLevel="2" x14ac:dyDescent="0.2">
      <c r="A456" s="1075">
        <v>506</v>
      </c>
      <c r="B456" s="1078">
        <v>5688038</v>
      </c>
      <c r="C456" s="1075">
        <v>56880388</v>
      </c>
      <c r="D456" s="1075" t="s">
        <v>2372</v>
      </c>
      <c r="E456" s="1075" t="s">
        <v>2373</v>
      </c>
      <c r="F456" s="1075">
        <v>996000</v>
      </c>
      <c r="G456" s="1075" t="s">
        <v>2107</v>
      </c>
      <c r="H456" s="1075">
        <v>90534</v>
      </c>
      <c r="I456" s="1075">
        <v>3</v>
      </c>
      <c r="J456" s="1075">
        <v>5</v>
      </c>
      <c r="K456" s="1075">
        <v>7</v>
      </c>
      <c r="L456" s="1075">
        <v>0</v>
      </c>
      <c r="M456" s="1075" t="s">
        <v>425</v>
      </c>
      <c r="N456" s="1075" t="s">
        <v>425</v>
      </c>
      <c r="O456" s="1077">
        <f t="shared" si="188"/>
        <v>0.30499999999999999</v>
      </c>
      <c r="P456" s="1075">
        <v>30.5</v>
      </c>
      <c r="Q456" s="1074">
        <v>1737.85</v>
      </c>
      <c r="R456" s="1074">
        <v>0</v>
      </c>
      <c r="S456" s="1074">
        <v>0</v>
      </c>
      <c r="T456" s="1074">
        <v>1616.6</v>
      </c>
      <c r="U456" s="1074">
        <v>0</v>
      </c>
      <c r="V456" s="1074">
        <v>0</v>
      </c>
      <c r="W456" s="1074">
        <v>1616.6</v>
      </c>
      <c r="X456" s="1074">
        <v>0</v>
      </c>
      <c r="Y456" s="1074">
        <v>0</v>
      </c>
      <c r="Z456" s="1074">
        <v>0</v>
      </c>
      <c r="AA456" s="1074">
        <v>0</v>
      </c>
      <c r="AB456" s="1074">
        <v>121.25</v>
      </c>
      <c r="AC456" s="1074">
        <v>0</v>
      </c>
      <c r="AD456" s="1074">
        <v>0</v>
      </c>
      <c r="AE456" s="1074">
        <v>1996000</v>
      </c>
      <c r="AF456" s="1074" t="s">
        <v>251</v>
      </c>
      <c r="AG456" s="1095">
        <f>VLOOKUP(B456,עזר!A$2:B$329,2,FALSE)</f>
        <v>17546</v>
      </c>
      <c r="AH456" s="1074">
        <f t="shared" si="190"/>
        <v>5213.5499999999993</v>
      </c>
      <c r="AI456" s="1074">
        <f t="shared" si="191"/>
        <v>22759.55</v>
      </c>
      <c r="AJ456" s="1077">
        <f>VLOOKUP(B456,Sheet1!D$2:K$430,7,FALSE)</f>
        <v>0.30499999999999999</v>
      </c>
      <c r="AK456" s="1074">
        <f>VLOOKUP(B456,Sheet1!D$2:L$430,8,FALSE)</f>
        <v>22759</v>
      </c>
      <c r="AL456" s="1109">
        <f t="shared" si="195"/>
        <v>0.30499999999999999</v>
      </c>
      <c r="AM456" s="1074">
        <f t="shared" si="194"/>
        <v>23214.740999999998</v>
      </c>
      <c r="AN456" s="1085">
        <f t="shared" si="192"/>
        <v>0.30499999999999999</v>
      </c>
      <c r="AO456" s="1074">
        <f t="shared" si="193"/>
        <v>23214.740999999998</v>
      </c>
      <c r="AP456" s="1080"/>
    </row>
    <row r="457" spans="1:42" outlineLevel="2" x14ac:dyDescent="0.2">
      <c r="A457" s="1075">
        <v>506</v>
      </c>
      <c r="B457" s="1078">
        <v>5688075</v>
      </c>
      <c r="C457" s="1075">
        <v>56880750</v>
      </c>
      <c r="D457" s="1075" t="s">
        <v>2291</v>
      </c>
      <c r="E457" s="1075" t="s">
        <v>2233</v>
      </c>
      <c r="F457" s="1075">
        <v>996000</v>
      </c>
      <c r="G457" s="1075" t="s">
        <v>2107</v>
      </c>
      <c r="H457" s="1075">
        <v>90534</v>
      </c>
      <c r="I457" s="1075">
        <v>3</v>
      </c>
      <c r="J457" s="1075">
        <v>74</v>
      </c>
      <c r="K457" s="1075">
        <v>42</v>
      </c>
      <c r="L457" s="1075">
        <v>0</v>
      </c>
      <c r="M457" s="1075" t="s">
        <v>425</v>
      </c>
      <c r="N457" s="1075" t="s">
        <v>425</v>
      </c>
      <c r="O457" s="1077">
        <f t="shared" si="188"/>
        <v>0.47399999999999998</v>
      </c>
      <c r="P457" s="1075">
        <v>47.4</v>
      </c>
      <c r="Q457" s="1074">
        <v>3830.9</v>
      </c>
      <c r="R457" s="1074">
        <v>0</v>
      </c>
      <c r="S457" s="1074">
        <v>0</v>
      </c>
      <c r="T457" s="1074">
        <v>3563.65</v>
      </c>
      <c r="U457" s="1074">
        <v>0</v>
      </c>
      <c r="V457" s="1074">
        <v>0</v>
      </c>
      <c r="W457" s="1074">
        <v>3563.65</v>
      </c>
      <c r="X457" s="1074">
        <v>0</v>
      </c>
      <c r="Y457" s="1074">
        <v>0</v>
      </c>
      <c r="Z457" s="1074">
        <v>0</v>
      </c>
      <c r="AA457" s="1074">
        <v>0</v>
      </c>
      <c r="AB457" s="1074">
        <v>267.25</v>
      </c>
      <c r="AC457" s="1074">
        <v>0</v>
      </c>
      <c r="AD457" s="1074">
        <v>0</v>
      </c>
      <c r="AE457" s="1074">
        <v>1996000</v>
      </c>
      <c r="AF457" s="1074" t="s">
        <v>251</v>
      </c>
      <c r="AG457" s="1095">
        <f>VLOOKUP(B457,עזר!A$2:B$329,2,FALSE)</f>
        <v>37869.15</v>
      </c>
      <c r="AH457" s="1074">
        <f t="shared" si="190"/>
        <v>11492.7</v>
      </c>
      <c r="AI457" s="1074">
        <f t="shared" si="191"/>
        <v>49361.850000000006</v>
      </c>
      <c r="AJ457" s="1077">
        <f>VLOOKUP(B457,Sheet1!D$2:K$430,7,FALSE)</f>
        <v>0.47</v>
      </c>
      <c r="AK457" s="1074">
        <f>VLOOKUP(B457,Sheet1!D$2:L$430,8,FALSE)</f>
        <v>101840</v>
      </c>
      <c r="AL457" s="1109">
        <f t="shared" si="195"/>
        <v>0.47399999999999998</v>
      </c>
      <c r="AM457" s="1074">
        <f t="shared" si="194"/>
        <v>50349.087000000007</v>
      </c>
      <c r="AN457" s="1085">
        <f t="shared" si="192"/>
        <v>0.47399999999999998</v>
      </c>
      <c r="AO457" s="1074">
        <f t="shared" si="193"/>
        <v>50349.087000000007</v>
      </c>
      <c r="AP457" s="1080"/>
    </row>
    <row r="458" spans="1:42" outlineLevel="2" x14ac:dyDescent="0.2">
      <c r="A458" s="1075">
        <v>506</v>
      </c>
      <c r="B458" s="1078">
        <v>5688223</v>
      </c>
      <c r="C458" s="1075">
        <v>56882236</v>
      </c>
      <c r="D458" s="1075" t="s">
        <v>2138</v>
      </c>
      <c r="E458" s="1075" t="s">
        <v>2374</v>
      </c>
      <c r="F458" s="1075">
        <v>996000</v>
      </c>
      <c r="G458" s="1075" t="s">
        <v>2107</v>
      </c>
      <c r="H458" s="1075">
        <v>90534</v>
      </c>
      <c r="I458" s="1075">
        <v>3</v>
      </c>
      <c r="J458" s="1075">
        <v>5</v>
      </c>
      <c r="K458" s="1075">
        <v>13</v>
      </c>
      <c r="L458" s="1075">
        <v>0</v>
      </c>
      <c r="M458" s="1075" t="s">
        <v>425</v>
      </c>
      <c r="N458" s="1075" t="s">
        <v>425</v>
      </c>
      <c r="O458" s="1077">
        <f t="shared" si="188"/>
        <v>0.60299999999999998</v>
      </c>
      <c r="P458" s="1075">
        <v>60.3</v>
      </c>
      <c r="Q458" s="1074">
        <v>9717.7999999999993</v>
      </c>
      <c r="R458" s="1074">
        <v>0</v>
      </c>
      <c r="S458" s="1074">
        <v>0</v>
      </c>
      <c r="T458" s="1074">
        <v>9039.7999999999993</v>
      </c>
      <c r="U458" s="1074">
        <v>0</v>
      </c>
      <c r="V458" s="1074">
        <v>0</v>
      </c>
      <c r="W458" s="1074">
        <v>9039.7999999999993</v>
      </c>
      <c r="X458" s="1074">
        <v>0</v>
      </c>
      <c r="Y458" s="1074">
        <v>0</v>
      </c>
      <c r="Z458" s="1074">
        <v>0</v>
      </c>
      <c r="AA458" s="1074">
        <v>0</v>
      </c>
      <c r="AB458" s="1074">
        <v>678</v>
      </c>
      <c r="AC458" s="1074">
        <v>0</v>
      </c>
      <c r="AD458" s="1074">
        <v>0</v>
      </c>
      <c r="AE458" s="1074">
        <v>1996000</v>
      </c>
      <c r="AF458" s="1074" t="s">
        <v>251</v>
      </c>
      <c r="AG458" s="1095">
        <f>VLOOKUP(B458,עזר!A$2:B$329,2,FALSE)</f>
        <v>63486.95</v>
      </c>
      <c r="AH458" s="1074">
        <f t="shared" si="190"/>
        <v>29153.399999999998</v>
      </c>
      <c r="AI458" s="1074">
        <f t="shared" si="191"/>
        <v>92640.349999999991</v>
      </c>
      <c r="AJ458" s="1077">
        <f>VLOOKUP(B458,Sheet1!D$2:K$430,7,FALSE)</f>
        <v>0.60299999999999998</v>
      </c>
      <c r="AK458" s="1074">
        <f>VLOOKUP(B458,Sheet1!D$2:L$430,8,FALSE)</f>
        <v>81708</v>
      </c>
      <c r="AL458" s="1109">
        <f t="shared" si="195"/>
        <v>0.60299999999999998</v>
      </c>
      <c r="AM458" s="1074">
        <f t="shared" si="194"/>
        <v>94493.156999999992</v>
      </c>
      <c r="AN458" s="1085">
        <f t="shared" si="192"/>
        <v>0.60299999999999998</v>
      </c>
      <c r="AO458" s="1074">
        <f t="shared" si="193"/>
        <v>94493.156999999992</v>
      </c>
      <c r="AP458" s="1080"/>
    </row>
    <row r="459" spans="1:42" outlineLevel="2" x14ac:dyDescent="0.2">
      <c r="A459" s="1075">
        <v>506</v>
      </c>
      <c r="B459" s="1078">
        <v>5692217</v>
      </c>
      <c r="C459" s="1075">
        <v>56922172</v>
      </c>
      <c r="D459" s="1075" t="s">
        <v>2375</v>
      </c>
      <c r="E459" s="1075" t="s">
        <v>1110</v>
      </c>
      <c r="F459" s="1075">
        <v>996000</v>
      </c>
      <c r="G459" s="1075" t="s">
        <v>2107</v>
      </c>
      <c r="H459" s="1075">
        <v>90534</v>
      </c>
      <c r="I459" s="1075">
        <v>3</v>
      </c>
      <c r="J459" s="1075">
        <v>5</v>
      </c>
      <c r="K459" s="1075">
        <v>9</v>
      </c>
      <c r="L459" s="1075">
        <v>0</v>
      </c>
      <c r="M459" s="1075" t="s">
        <v>425</v>
      </c>
      <c r="N459" s="1075" t="s">
        <v>425</v>
      </c>
      <c r="O459" s="1077">
        <f t="shared" si="188"/>
        <v>0.63</v>
      </c>
      <c r="P459" s="1075">
        <v>63</v>
      </c>
      <c r="Q459" s="1074">
        <v>4292.95</v>
      </c>
      <c r="R459" s="1074">
        <v>0</v>
      </c>
      <c r="S459" s="1074">
        <v>0</v>
      </c>
      <c r="T459" s="1074">
        <v>3993.45</v>
      </c>
      <c r="U459" s="1074">
        <v>0</v>
      </c>
      <c r="V459" s="1074">
        <v>0</v>
      </c>
      <c r="W459" s="1074">
        <v>3993.45</v>
      </c>
      <c r="X459" s="1074">
        <v>0</v>
      </c>
      <c r="Y459" s="1074">
        <v>0</v>
      </c>
      <c r="Z459" s="1074">
        <v>0</v>
      </c>
      <c r="AA459" s="1074">
        <v>0</v>
      </c>
      <c r="AB459" s="1074">
        <v>299.5</v>
      </c>
      <c r="AC459" s="1074">
        <v>0</v>
      </c>
      <c r="AD459" s="1074">
        <v>0</v>
      </c>
      <c r="AE459" s="1074">
        <v>1996000</v>
      </c>
      <c r="AF459" s="1074" t="s">
        <v>251</v>
      </c>
      <c r="AG459" s="1095">
        <f>VLOOKUP(B459,עזר!A$2:B$329,2,FALSE)</f>
        <v>44048.45</v>
      </c>
      <c r="AH459" s="1074">
        <f t="shared" si="190"/>
        <v>12878.849999999999</v>
      </c>
      <c r="AI459" s="1074">
        <f t="shared" si="191"/>
        <v>56927.299999999996</v>
      </c>
      <c r="AJ459" s="1077">
        <f>VLOOKUP(B459,Sheet1!D$2:K$430,7,FALSE)</f>
        <v>0.63</v>
      </c>
      <c r="AK459" s="1074">
        <f>VLOOKUP(B459,Sheet1!D$2:L$430,8,FALSE)</f>
        <v>56927</v>
      </c>
      <c r="AL459" s="1109">
        <f t="shared" si="195"/>
        <v>0.63</v>
      </c>
      <c r="AM459" s="1074">
        <f t="shared" si="194"/>
        <v>58065.845999999998</v>
      </c>
      <c r="AN459" s="1085">
        <f t="shared" si="192"/>
        <v>0.63</v>
      </c>
      <c r="AO459" s="1074">
        <f t="shared" si="193"/>
        <v>58065.845999999998</v>
      </c>
      <c r="AP459" s="1080"/>
    </row>
    <row r="460" spans="1:42" outlineLevel="2" x14ac:dyDescent="0.2">
      <c r="A460" s="1075">
        <v>506</v>
      </c>
      <c r="B460" s="1078">
        <v>5760050</v>
      </c>
      <c r="C460" s="1075">
        <v>57600504</v>
      </c>
      <c r="D460" s="1075" t="s">
        <v>2375</v>
      </c>
      <c r="E460" s="1075" t="s">
        <v>2376</v>
      </c>
      <c r="F460" s="1075">
        <v>996000</v>
      </c>
      <c r="G460" s="1075" t="s">
        <v>2107</v>
      </c>
      <c r="H460" s="1075">
        <v>90534</v>
      </c>
      <c r="I460" s="1075">
        <v>3</v>
      </c>
      <c r="J460" s="1075">
        <v>5</v>
      </c>
      <c r="K460" s="1075">
        <v>36</v>
      </c>
      <c r="L460" s="1075">
        <v>0</v>
      </c>
      <c r="M460" s="1075" t="s">
        <v>425</v>
      </c>
      <c r="N460" s="1075" t="s">
        <v>425</v>
      </c>
      <c r="O460" s="1077">
        <f t="shared" si="188"/>
        <v>0.25800000000000001</v>
      </c>
      <c r="P460" s="1075">
        <v>25.8</v>
      </c>
      <c r="Q460" s="1074">
        <v>1527.5</v>
      </c>
      <c r="R460" s="1074">
        <v>0</v>
      </c>
      <c r="S460" s="1074">
        <v>0</v>
      </c>
      <c r="T460" s="1074">
        <v>1420.95</v>
      </c>
      <c r="U460" s="1074">
        <v>0</v>
      </c>
      <c r="V460" s="1074">
        <v>0</v>
      </c>
      <c r="W460" s="1074">
        <v>1420.95</v>
      </c>
      <c r="X460" s="1074">
        <v>0</v>
      </c>
      <c r="Y460" s="1074">
        <v>0</v>
      </c>
      <c r="Z460" s="1074">
        <v>0</v>
      </c>
      <c r="AA460" s="1074">
        <v>0</v>
      </c>
      <c r="AB460" s="1074">
        <v>106.55</v>
      </c>
      <c r="AC460" s="1074">
        <v>0</v>
      </c>
      <c r="AD460" s="1074">
        <v>0</v>
      </c>
      <c r="AE460" s="1074">
        <v>1996000</v>
      </c>
      <c r="AF460" s="1074" t="s">
        <v>251</v>
      </c>
      <c r="AG460" s="1095">
        <f>VLOOKUP(B460,עזר!A$2:B$329,2,FALSE)</f>
        <v>15667.75</v>
      </c>
      <c r="AH460" s="1074">
        <f t="shared" si="190"/>
        <v>4582.5</v>
      </c>
      <c r="AI460" s="1074">
        <f t="shared" si="191"/>
        <v>20250.25</v>
      </c>
      <c r="AJ460" s="1077">
        <f>VLOOKUP(B460,Sheet1!D$2:K$430,7,FALSE)</f>
        <v>0.26</v>
      </c>
      <c r="AK460" s="1074">
        <f>VLOOKUP(B460,Sheet1!D$2:L$430,8,FALSE)</f>
        <v>20250</v>
      </c>
      <c r="AL460" s="1109">
        <f t="shared" si="195"/>
        <v>0.25800000000000001</v>
      </c>
      <c r="AM460" s="1074">
        <f t="shared" si="194"/>
        <v>20655.255000000001</v>
      </c>
      <c r="AN460" s="1085">
        <f t="shared" si="192"/>
        <v>0.25800000000000001</v>
      </c>
      <c r="AO460" s="1074">
        <f t="shared" si="193"/>
        <v>20655.255000000001</v>
      </c>
      <c r="AP460" s="1080"/>
    </row>
    <row r="461" spans="1:42" outlineLevel="2" x14ac:dyDescent="0.2">
      <c r="A461" s="1075">
        <v>506</v>
      </c>
      <c r="B461" s="1078">
        <v>5818955</v>
      </c>
      <c r="C461" s="1075">
        <v>58189556</v>
      </c>
      <c r="D461" s="1075" t="s">
        <v>2117</v>
      </c>
      <c r="E461" s="1075" t="s">
        <v>2320</v>
      </c>
      <c r="F461" s="1075">
        <v>996000</v>
      </c>
      <c r="G461" s="1075" t="s">
        <v>2107</v>
      </c>
      <c r="H461" s="1075">
        <v>90534</v>
      </c>
      <c r="I461" s="1075">
        <v>3</v>
      </c>
      <c r="J461" s="1075">
        <v>5</v>
      </c>
      <c r="K461" s="1075">
        <v>39</v>
      </c>
      <c r="L461" s="1075">
        <v>0</v>
      </c>
      <c r="M461" s="1075" t="s">
        <v>425</v>
      </c>
      <c r="N461" s="1075" t="s">
        <v>425</v>
      </c>
      <c r="O461" s="1077">
        <f t="shared" si="188"/>
        <v>0.27</v>
      </c>
      <c r="P461" s="1075">
        <v>27</v>
      </c>
      <c r="Q461" s="1074">
        <v>1702.35</v>
      </c>
      <c r="R461" s="1074">
        <v>0</v>
      </c>
      <c r="S461" s="1074">
        <v>0</v>
      </c>
      <c r="T461" s="1074">
        <v>1583.6</v>
      </c>
      <c r="U461" s="1074">
        <v>0</v>
      </c>
      <c r="V461" s="1074">
        <v>0</v>
      </c>
      <c r="W461" s="1074">
        <v>1583.6</v>
      </c>
      <c r="X461" s="1074">
        <v>0</v>
      </c>
      <c r="Y461" s="1074">
        <v>0</v>
      </c>
      <c r="Z461" s="1074">
        <v>0</v>
      </c>
      <c r="AA461" s="1074">
        <v>0</v>
      </c>
      <c r="AB461" s="1074">
        <v>118.75</v>
      </c>
      <c r="AC461" s="1074">
        <v>0</v>
      </c>
      <c r="AD461" s="1074">
        <v>0</v>
      </c>
      <c r="AE461" s="1074">
        <v>1996000</v>
      </c>
      <c r="AF461" s="1074" t="s">
        <v>251</v>
      </c>
      <c r="AG461" s="1095">
        <f>VLOOKUP(B461,עזר!A$2:B$329,2,FALSE)</f>
        <v>17382.150000000001</v>
      </c>
      <c r="AH461" s="1074">
        <f t="shared" si="190"/>
        <v>5107.0499999999993</v>
      </c>
      <c r="AI461" s="1074">
        <f t="shared" si="191"/>
        <v>22489.200000000001</v>
      </c>
      <c r="AJ461" s="1077">
        <f>VLOOKUP(B461,Sheet1!D$2:K$430,7,FALSE)</f>
        <v>0.25</v>
      </c>
      <c r="AK461" s="1074">
        <f>VLOOKUP(B461,Sheet1!D$2:L$430,8,FALSE)</f>
        <v>29592</v>
      </c>
      <c r="AL461" s="1109">
        <f t="shared" si="195"/>
        <v>0.27</v>
      </c>
      <c r="AM461" s="1074">
        <f t="shared" si="194"/>
        <v>22938.984</v>
      </c>
      <c r="AN461" s="1085">
        <f t="shared" si="192"/>
        <v>0.27</v>
      </c>
      <c r="AO461" s="1074">
        <f t="shared" si="193"/>
        <v>22938.984</v>
      </c>
      <c r="AP461" s="1080"/>
    </row>
    <row r="462" spans="1:42" outlineLevel="2" x14ac:dyDescent="0.2">
      <c r="A462" s="1075">
        <v>506</v>
      </c>
      <c r="B462" s="1078">
        <v>5931960</v>
      </c>
      <c r="C462" s="1075">
        <v>59319608</v>
      </c>
      <c r="D462" s="1075" t="s">
        <v>1374</v>
      </c>
      <c r="E462" s="1075" t="s">
        <v>2125</v>
      </c>
      <c r="F462" s="1075">
        <v>996000</v>
      </c>
      <c r="G462" s="1075" t="s">
        <v>2107</v>
      </c>
      <c r="H462" s="1075">
        <v>90534</v>
      </c>
      <c r="I462" s="1075">
        <v>1</v>
      </c>
      <c r="J462" s="1075">
        <v>0</v>
      </c>
      <c r="K462" s="1075">
        <v>0</v>
      </c>
      <c r="L462" s="1075">
        <v>0</v>
      </c>
      <c r="M462" s="1075" t="s">
        <v>425</v>
      </c>
      <c r="N462" s="1075" t="s">
        <v>425</v>
      </c>
      <c r="O462" s="1077">
        <f t="shared" si="188"/>
        <v>0</v>
      </c>
      <c r="P462" s="1075">
        <v>0</v>
      </c>
      <c r="Q462" s="1074">
        <v>8297.49</v>
      </c>
      <c r="R462" s="1074">
        <v>0</v>
      </c>
      <c r="S462" s="1074">
        <v>0</v>
      </c>
      <c r="T462" s="1074">
        <v>0</v>
      </c>
      <c r="U462" s="1074">
        <v>0</v>
      </c>
      <c r="V462" s="1074">
        <v>0</v>
      </c>
      <c r="W462" s="1074">
        <v>0</v>
      </c>
      <c r="X462" s="1074">
        <v>0</v>
      </c>
      <c r="Y462" s="1074">
        <v>0</v>
      </c>
      <c r="Z462" s="1074">
        <v>0</v>
      </c>
      <c r="AA462" s="1074">
        <v>0</v>
      </c>
      <c r="AB462" s="1074">
        <v>578.89</v>
      </c>
      <c r="AC462" s="1074">
        <v>0</v>
      </c>
      <c r="AD462" s="1074">
        <v>0</v>
      </c>
      <c r="AE462" s="1074">
        <v>1996000</v>
      </c>
      <c r="AF462" s="1074" t="s">
        <v>251</v>
      </c>
      <c r="AG462" s="1095">
        <v>0</v>
      </c>
      <c r="AH462" s="1074">
        <f t="shared" si="190"/>
        <v>24892.47</v>
      </c>
      <c r="AI462" s="1074">
        <f t="shared" si="191"/>
        <v>24892.47</v>
      </c>
      <c r="AK462" s="1074"/>
      <c r="AL462" s="1109">
        <v>0.48</v>
      </c>
      <c r="AM462" s="1074">
        <v>50000</v>
      </c>
      <c r="AN462" s="1085">
        <f t="shared" si="192"/>
        <v>0.48</v>
      </c>
      <c r="AO462" s="1074">
        <f t="shared" si="193"/>
        <v>50000</v>
      </c>
      <c r="AP462" s="1080"/>
    </row>
    <row r="463" spans="1:42" outlineLevel="2" x14ac:dyDescent="0.2">
      <c r="A463" s="1075">
        <v>506</v>
      </c>
      <c r="B463" s="1078">
        <v>5934536</v>
      </c>
      <c r="C463" s="1075">
        <v>59345363</v>
      </c>
      <c r="D463" s="1075" t="s">
        <v>2138</v>
      </c>
      <c r="E463" s="1075" t="s">
        <v>2377</v>
      </c>
      <c r="F463" s="1075">
        <v>996000</v>
      </c>
      <c r="G463" s="1075" t="s">
        <v>2107</v>
      </c>
      <c r="H463" s="1075">
        <v>90534</v>
      </c>
      <c r="I463" s="1075">
        <v>3</v>
      </c>
      <c r="J463" s="1075">
        <v>5</v>
      </c>
      <c r="K463" s="1075">
        <v>39</v>
      </c>
      <c r="L463" s="1075">
        <v>0</v>
      </c>
      <c r="M463" s="1075" t="s">
        <v>425</v>
      </c>
      <c r="N463" s="1075" t="s">
        <v>425</v>
      </c>
      <c r="O463" s="1077">
        <f t="shared" si="188"/>
        <v>0.50700000000000001</v>
      </c>
      <c r="P463" s="1075">
        <v>50.7</v>
      </c>
      <c r="Q463" s="1074">
        <v>3292.85</v>
      </c>
      <c r="R463" s="1074">
        <v>0</v>
      </c>
      <c r="S463" s="1074">
        <v>0</v>
      </c>
      <c r="T463" s="1074">
        <v>3063.1</v>
      </c>
      <c r="U463" s="1074">
        <v>0</v>
      </c>
      <c r="V463" s="1074">
        <v>0</v>
      </c>
      <c r="W463" s="1074">
        <v>3063.1</v>
      </c>
      <c r="X463" s="1074">
        <v>0</v>
      </c>
      <c r="Y463" s="1074">
        <v>0</v>
      </c>
      <c r="Z463" s="1074">
        <v>0</v>
      </c>
      <c r="AA463" s="1074">
        <v>0</v>
      </c>
      <c r="AB463" s="1074">
        <v>229.75</v>
      </c>
      <c r="AC463" s="1074">
        <v>0</v>
      </c>
      <c r="AD463" s="1074">
        <v>0</v>
      </c>
      <c r="AE463" s="1074">
        <v>1996000</v>
      </c>
      <c r="AF463" s="1074" t="s">
        <v>251</v>
      </c>
      <c r="AG463" s="1095">
        <f>VLOOKUP(B463,עזר!A$2:B$329,2,FALSE)</f>
        <v>33748.199999999997</v>
      </c>
      <c r="AH463" s="1074">
        <f t="shared" si="190"/>
        <v>9878.5499999999993</v>
      </c>
      <c r="AI463" s="1074">
        <f t="shared" si="191"/>
        <v>43626.75</v>
      </c>
      <c r="AJ463" s="1077">
        <f>VLOOKUP(B463,Sheet1!D$2:K$430,7,FALSE)</f>
        <v>0.50700000000000001</v>
      </c>
      <c r="AK463" s="1074">
        <f>VLOOKUP(B463,Sheet1!D$2:L$430,8,FALSE)</f>
        <v>43830</v>
      </c>
      <c r="AL463" s="1109">
        <f t="shared" si="195"/>
        <v>0.50700000000000001</v>
      </c>
      <c r="AM463" s="1074">
        <f t="shared" si="194"/>
        <v>44499.285000000003</v>
      </c>
      <c r="AN463" s="1085">
        <f t="shared" si="192"/>
        <v>0.50700000000000001</v>
      </c>
      <c r="AO463" s="1074">
        <f t="shared" si="193"/>
        <v>44499.285000000003</v>
      </c>
      <c r="AP463" s="1080"/>
    </row>
    <row r="464" spans="1:42" outlineLevel="2" x14ac:dyDescent="0.2">
      <c r="A464" s="1075">
        <v>506</v>
      </c>
      <c r="B464" s="1078">
        <v>5938514</v>
      </c>
      <c r="C464" s="1075">
        <v>59385146</v>
      </c>
      <c r="D464" s="1075" t="s">
        <v>2119</v>
      </c>
      <c r="E464" s="1075" t="s">
        <v>2289</v>
      </c>
      <c r="F464" s="1075">
        <v>996000</v>
      </c>
      <c r="G464" s="1075" t="s">
        <v>2107</v>
      </c>
      <c r="H464" s="1075">
        <v>90534</v>
      </c>
      <c r="I464" s="1075">
        <v>3</v>
      </c>
      <c r="J464" s="1075">
        <v>5</v>
      </c>
      <c r="K464" s="1075">
        <v>8</v>
      </c>
      <c r="L464" s="1075">
        <v>0</v>
      </c>
      <c r="M464" s="1075" t="s">
        <v>425</v>
      </c>
      <c r="N464" s="1075" t="s">
        <v>425</v>
      </c>
      <c r="O464" s="1077">
        <f t="shared" si="188"/>
        <v>0.45</v>
      </c>
      <c r="P464" s="1075">
        <v>45</v>
      </c>
      <c r="Q464" s="1074">
        <v>2509.21</v>
      </c>
      <c r="R464" s="1074">
        <v>3.88</v>
      </c>
      <c r="S464" s="1074">
        <v>2.67</v>
      </c>
      <c r="T464" s="1074">
        <v>2496.85</v>
      </c>
      <c r="U464" s="1074">
        <v>0</v>
      </c>
      <c r="V464" s="1074">
        <v>0</v>
      </c>
      <c r="W464" s="1074">
        <v>2419.4</v>
      </c>
      <c r="X464" s="1074">
        <v>0</v>
      </c>
      <c r="Y464" s="1074">
        <v>77.45</v>
      </c>
      <c r="Z464" s="1074">
        <v>0</v>
      </c>
      <c r="AA464" s="1074">
        <v>0</v>
      </c>
      <c r="AB464" s="1074">
        <v>5.81</v>
      </c>
      <c r="AC464" s="1074">
        <v>0</v>
      </c>
      <c r="AD464" s="1074">
        <v>0</v>
      </c>
      <c r="AE464" s="1074">
        <v>1996000</v>
      </c>
      <c r="AF464" s="1074" t="s">
        <v>251</v>
      </c>
      <c r="AG464" s="1095">
        <v>0</v>
      </c>
      <c r="AH464" s="1074">
        <f t="shared" ref="AH464:AH469" si="196">Q464*3</f>
        <v>7527.63</v>
      </c>
      <c r="AI464" s="1074">
        <f t="shared" ref="AI464:AI467" si="197">AH464+AG464</f>
        <v>7527.63</v>
      </c>
      <c r="AJ464" s="1077">
        <f>VLOOKUP(B464,Sheet1!D$2:K$430,7,FALSE)</f>
        <v>0.65</v>
      </c>
      <c r="AK464" s="1074">
        <f>VLOOKUP(B464,Sheet1!D$2:L$430,8,FALSE)</f>
        <v>70255</v>
      </c>
      <c r="AL464" s="1109">
        <f t="shared" si="195"/>
        <v>0.45</v>
      </c>
      <c r="AM464" s="1074">
        <f t="shared" si="194"/>
        <v>7678.1826000000001</v>
      </c>
      <c r="AN464" s="1085">
        <f t="shared" ref="AN464:AN473" si="198">AL464</f>
        <v>0.45</v>
      </c>
      <c r="AO464" s="1074">
        <f t="shared" ref="AO464:AO473" si="199">AM464</f>
        <v>7678.1826000000001</v>
      </c>
      <c r="AP464" s="1080"/>
    </row>
    <row r="465" spans="1:42" outlineLevel="2" x14ac:dyDescent="0.2">
      <c r="A465" s="1075">
        <v>506</v>
      </c>
      <c r="B465" s="1078">
        <v>5954395</v>
      </c>
      <c r="C465" s="1075">
        <v>59543959</v>
      </c>
      <c r="D465" s="1075" t="s">
        <v>1329</v>
      </c>
      <c r="E465" s="1075" t="s">
        <v>2378</v>
      </c>
      <c r="F465" s="1075">
        <v>996000</v>
      </c>
      <c r="G465" s="1075" t="s">
        <v>2107</v>
      </c>
      <c r="H465" s="1075">
        <v>90534</v>
      </c>
      <c r="I465" s="1075">
        <v>3</v>
      </c>
      <c r="J465" s="1075">
        <v>5</v>
      </c>
      <c r="K465" s="1075">
        <v>40</v>
      </c>
      <c r="L465" s="1075">
        <v>0</v>
      </c>
      <c r="M465" s="1075" t="s">
        <v>425</v>
      </c>
      <c r="N465" s="1075" t="s">
        <v>425</v>
      </c>
      <c r="O465" s="1077">
        <f t="shared" si="188"/>
        <v>0.50600000000000001</v>
      </c>
      <c r="P465" s="1075">
        <v>50.6</v>
      </c>
      <c r="Q465" s="1074">
        <v>6020.55</v>
      </c>
      <c r="R465" s="1074">
        <v>0</v>
      </c>
      <c r="S465" s="1074">
        <v>0</v>
      </c>
      <c r="T465" s="1074">
        <v>5600.5</v>
      </c>
      <c r="U465" s="1074">
        <v>0</v>
      </c>
      <c r="V465" s="1074">
        <v>0</v>
      </c>
      <c r="W465" s="1074">
        <v>5600.5</v>
      </c>
      <c r="X465" s="1074">
        <v>0</v>
      </c>
      <c r="Y465" s="1074">
        <v>0</v>
      </c>
      <c r="Z465" s="1074">
        <v>0</v>
      </c>
      <c r="AA465" s="1074">
        <v>0</v>
      </c>
      <c r="AB465" s="1074">
        <v>420.05</v>
      </c>
      <c r="AC465" s="1074">
        <v>0</v>
      </c>
      <c r="AD465" s="1074">
        <v>0</v>
      </c>
      <c r="AE465" s="1074">
        <v>1996000</v>
      </c>
      <c r="AF465" s="1074" t="s">
        <v>251</v>
      </c>
      <c r="AG465" s="1095">
        <f>VLOOKUP(B465,עזר!A$2:B$329,2,FALSE)</f>
        <v>40470.35</v>
      </c>
      <c r="AH465" s="1074">
        <f t="shared" si="196"/>
        <v>18061.650000000001</v>
      </c>
      <c r="AI465" s="1074">
        <f t="shared" si="197"/>
        <v>58532</v>
      </c>
      <c r="AJ465" s="1077">
        <f>VLOOKUP(B465,Sheet1!D$2:K$430,7,FALSE)</f>
        <v>0.51</v>
      </c>
      <c r="AK465" s="1074">
        <f>VLOOKUP(B465,Sheet1!D$2:L$430,8,FALSE)</f>
        <v>108567</v>
      </c>
      <c r="AL465" s="1109">
        <f t="shared" si="195"/>
        <v>0.50600000000000001</v>
      </c>
      <c r="AM465" s="1074">
        <f t="shared" si="194"/>
        <v>59702.64</v>
      </c>
      <c r="AN465" s="1085">
        <f t="shared" si="198"/>
        <v>0.50600000000000001</v>
      </c>
      <c r="AO465" s="1074">
        <f t="shared" si="199"/>
        <v>59702.64</v>
      </c>
      <c r="AP465" s="1080"/>
    </row>
    <row r="466" spans="1:42" outlineLevel="2" x14ac:dyDescent="0.2">
      <c r="A466" s="1075">
        <v>506</v>
      </c>
      <c r="B466" s="1078">
        <v>5992863</v>
      </c>
      <c r="C466" s="1075">
        <v>59928630</v>
      </c>
      <c r="D466" s="1075" t="s">
        <v>1390</v>
      </c>
      <c r="E466" s="1075" t="s">
        <v>2379</v>
      </c>
      <c r="F466" s="1075">
        <v>996000</v>
      </c>
      <c r="G466" s="1075" t="s">
        <v>2107</v>
      </c>
      <c r="H466" s="1075">
        <v>90534</v>
      </c>
      <c r="I466" s="1075">
        <v>3</v>
      </c>
      <c r="J466" s="1075">
        <v>39</v>
      </c>
      <c r="K466" s="1075">
        <v>3</v>
      </c>
      <c r="L466" s="1075">
        <v>0</v>
      </c>
      <c r="M466" s="1075" t="s">
        <v>425</v>
      </c>
      <c r="N466" s="1075" t="s">
        <v>425</v>
      </c>
      <c r="O466" s="1077">
        <f t="shared" si="188"/>
        <v>1.3719999999999999</v>
      </c>
      <c r="P466" s="1075">
        <v>137.19999999999999</v>
      </c>
      <c r="Q466" s="1074">
        <v>8530.4500000000007</v>
      </c>
      <c r="R466" s="1074">
        <v>0</v>
      </c>
      <c r="S466" s="1074">
        <v>0</v>
      </c>
      <c r="T466" s="1074">
        <v>7935.3</v>
      </c>
      <c r="U466" s="1074">
        <v>0</v>
      </c>
      <c r="V466" s="1074">
        <v>0</v>
      </c>
      <c r="W466" s="1074">
        <v>7935.3</v>
      </c>
      <c r="X466" s="1074">
        <v>0</v>
      </c>
      <c r="Y466" s="1074">
        <v>0</v>
      </c>
      <c r="Z466" s="1074">
        <v>0</v>
      </c>
      <c r="AA466" s="1074">
        <v>0</v>
      </c>
      <c r="AB466" s="1074">
        <v>595.15</v>
      </c>
      <c r="AC466" s="1074">
        <v>0</v>
      </c>
      <c r="AD466" s="1074">
        <v>0</v>
      </c>
      <c r="AE466" s="1074">
        <v>1996000</v>
      </c>
      <c r="AF466" s="1074" t="s">
        <v>251</v>
      </c>
      <c r="AG466" s="1095">
        <f>VLOOKUP(B466,עזר!A$2:B$329,2,FALSE)</f>
        <v>79995.149999999994</v>
      </c>
      <c r="AH466" s="1074">
        <f t="shared" si="196"/>
        <v>25591.350000000002</v>
      </c>
      <c r="AI466" s="1074">
        <f t="shared" si="197"/>
        <v>105586.5</v>
      </c>
      <c r="AJ466" s="1077">
        <f>VLOOKUP(B466,Sheet1!D$2:K$430,7,FALSE)</f>
        <v>0.44</v>
      </c>
      <c r="AK466" s="1074">
        <f>VLOOKUP(B466,Sheet1!D$2:L$430,8,FALSE)</f>
        <v>317219</v>
      </c>
      <c r="AL466" s="1109">
        <f t="shared" si="195"/>
        <v>1.3719999999999999</v>
      </c>
      <c r="AM466" s="1074">
        <f t="shared" si="194"/>
        <v>107698.23</v>
      </c>
      <c r="AN466" s="1085">
        <f t="shared" si="198"/>
        <v>1.3719999999999999</v>
      </c>
      <c r="AO466" s="1074">
        <f t="shared" si="199"/>
        <v>107698.23</v>
      </c>
      <c r="AP466" s="1080"/>
    </row>
    <row r="467" spans="1:42" outlineLevel="2" x14ac:dyDescent="0.2">
      <c r="A467" s="1075">
        <v>506</v>
      </c>
      <c r="B467" s="1078">
        <v>8099260</v>
      </c>
      <c r="C467" s="1075">
        <v>80992605</v>
      </c>
      <c r="D467" s="1075" t="s">
        <v>932</v>
      </c>
      <c r="E467" s="1075" t="s">
        <v>2380</v>
      </c>
      <c r="F467" s="1075">
        <v>996000</v>
      </c>
      <c r="G467" s="1075" t="s">
        <v>2107</v>
      </c>
      <c r="H467" s="1075">
        <v>90534</v>
      </c>
      <c r="I467" s="1075">
        <v>3</v>
      </c>
      <c r="J467" s="1075">
        <v>5</v>
      </c>
      <c r="K467" s="1075">
        <v>8</v>
      </c>
      <c r="L467" s="1075">
        <v>0</v>
      </c>
      <c r="M467" s="1075" t="s">
        <v>425</v>
      </c>
      <c r="N467" s="1075" t="s">
        <v>425</v>
      </c>
      <c r="O467" s="1077">
        <f t="shared" si="188"/>
        <v>0.29499999999999998</v>
      </c>
      <c r="P467" s="1075">
        <v>29.5</v>
      </c>
      <c r="Q467" s="1074">
        <v>1810.5</v>
      </c>
      <c r="R467" s="1074">
        <v>0</v>
      </c>
      <c r="S467" s="1074">
        <v>0</v>
      </c>
      <c r="T467" s="1074">
        <v>1684.2</v>
      </c>
      <c r="U467" s="1074">
        <v>0</v>
      </c>
      <c r="V467" s="1074">
        <v>0</v>
      </c>
      <c r="W467" s="1074">
        <v>1684.2</v>
      </c>
      <c r="X467" s="1074">
        <v>0</v>
      </c>
      <c r="Y467" s="1074">
        <v>0</v>
      </c>
      <c r="Z467" s="1074">
        <v>0</v>
      </c>
      <c r="AA467" s="1074">
        <v>0</v>
      </c>
      <c r="AB467" s="1074">
        <v>126.3</v>
      </c>
      <c r="AC467" s="1074">
        <v>0</v>
      </c>
      <c r="AD467" s="1074">
        <v>0</v>
      </c>
      <c r="AE467" s="1074">
        <v>1996000</v>
      </c>
      <c r="AF467" s="1074" t="s">
        <v>251</v>
      </c>
      <c r="AG467" s="1095">
        <f>VLOOKUP(B467,עזר!A$2:B$329,2,FALSE)</f>
        <v>18404.95</v>
      </c>
      <c r="AH467" s="1074">
        <f t="shared" si="196"/>
        <v>5431.5</v>
      </c>
      <c r="AI467" s="1074">
        <f t="shared" si="197"/>
        <v>23836.45</v>
      </c>
      <c r="AJ467" s="1077">
        <f>VLOOKUP(B467,Sheet1!D$2:K$430,7,FALSE)</f>
        <v>0.29499999999999998</v>
      </c>
      <c r="AK467" s="1074">
        <f>VLOOKUP(B467,Sheet1!D$2:L$430,8,FALSE)</f>
        <v>23836</v>
      </c>
      <c r="AL467" s="1109">
        <f t="shared" si="195"/>
        <v>0.29499999999999998</v>
      </c>
      <c r="AM467" s="1074">
        <f t="shared" si="194"/>
        <v>24313.179</v>
      </c>
      <c r="AN467" s="1085">
        <f t="shared" si="198"/>
        <v>0.29499999999999998</v>
      </c>
      <c r="AO467" s="1074">
        <f t="shared" si="199"/>
        <v>24313.179</v>
      </c>
      <c r="AP467" s="1080"/>
    </row>
    <row r="468" spans="1:42" outlineLevel="2" x14ac:dyDescent="0.2">
      <c r="A468" s="1075">
        <v>506</v>
      </c>
      <c r="B468" s="1079">
        <v>5763016</v>
      </c>
      <c r="C468" s="1079">
        <v>5763016</v>
      </c>
      <c r="D468" s="1075" t="s">
        <v>967</v>
      </c>
      <c r="E468" s="1075" t="s">
        <v>1397</v>
      </c>
      <c r="F468" s="1075">
        <v>996000</v>
      </c>
      <c r="M468" s="1075" t="s">
        <v>425</v>
      </c>
      <c r="N468" s="1075" t="s">
        <v>425</v>
      </c>
      <c r="O468" s="1077">
        <v>0</v>
      </c>
      <c r="Q468" s="1074">
        <v>0</v>
      </c>
      <c r="R468" s="1074"/>
      <c r="S468" s="1074"/>
      <c r="T468" s="1074"/>
      <c r="U468" s="1074"/>
      <c r="V468" s="1074"/>
      <c r="W468" s="1074"/>
      <c r="X468" s="1074"/>
      <c r="Y468" s="1074"/>
      <c r="Z468" s="1074"/>
      <c r="AA468" s="1074"/>
      <c r="AB468" s="1074"/>
      <c r="AC468" s="1074"/>
      <c r="AD468" s="1074"/>
      <c r="AE468" s="1074"/>
      <c r="AF468" s="1074"/>
      <c r="AG468" s="1095">
        <v>0</v>
      </c>
      <c r="AH468" s="1074">
        <f t="shared" si="196"/>
        <v>0</v>
      </c>
      <c r="AI468" s="1074">
        <v>0</v>
      </c>
      <c r="AJ468" s="1077">
        <v>0.54</v>
      </c>
      <c r="AK468" s="1074">
        <v>60000</v>
      </c>
      <c r="AL468" s="1109">
        <v>0.54</v>
      </c>
      <c r="AM468" s="1074">
        <v>70000</v>
      </c>
      <c r="AN468" s="1085">
        <f t="shared" si="198"/>
        <v>0.54</v>
      </c>
      <c r="AO468" s="1074">
        <f t="shared" si="199"/>
        <v>70000</v>
      </c>
      <c r="AP468" s="1080"/>
    </row>
    <row r="469" spans="1:42" outlineLevel="2" x14ac:dyDescent="0.2">
      <c r="A469" s="1075">
        <v>506</v>
      </c>
      <c r="B469" s="1078">
        <v>5091186</v>
      </c>
      <c r="C469" s="1075">
        <v>5091186</v>
      </c>
      <c r="D469" s="1075" t="s">
        <v>1018</v>
      </c>
      <c r="E469" s="1075" t="s">
        <v>979</v>
      </c>
      <c r="F469" s="1075">
        <v>996000</v>
      </c>
      <c r="M469" s="1075" t="s">
        <v>425</v>
      </c>
      <c r="N469" s="1075" t="s">
        <v>425</v>
      </c>
      <c r="O469" s="1077">
        <v>0</v>
      </c>
      <c r="Q469" s="1085">
        <v>0</v>
      </c>
      <c r="R469" s="1085"/>
      <c r="S469" s="1085"/>
      <c r="T469" s="1085"/>
      <c r="U469" s="1085"/>
      <c r="V469" s="1085"/>
      <c r="W469" s="1085"/>
      <c r="X469" s="1085"/>
      <c r="Y469" s="1085"/>
      <c r="Z469" s="1085"/>
      <c r="AA469" s="1085"/>
      <c r="AB469" s="1085"/>
      <c r="AC469" s="1085"/>
      <c r="AD469" s="1085"/>
      <c r="AE469" s="1085"/>
      <c r="AF469" s="1085"/>
      <c r="AG469" s="1096">
        <v>0</v>
      </c>
      <c r="AH469" s="1085">
        <f t="shared" si="196"/>
        <v>0</v>
      </c>
      <c r="AI469" s="1074">
        <v>0</v>
      </c>
      <c r="AJ469" s="1077">
        <v>0.13</v>
      </c>
      <c r="AK469" s="1074">
        <v>2733</v>
      </c>
      <c r="AL469" s="1109">
        <f t="shared" si="195"/>
        <v>0</v>
      </c>
      <c r="AM469" s="1074">
        <f t="shared" si="194"/>
        <v>0</v>
      </c>
      <c r="AN469" s="1085">
        <f t="shared" si="198"/>
        <v>0</v>
      </c>
      <c r="AO469" s="1074">
        <f t="shared" si="199"/>
        <v>0</v>
      </c>
      <c r="AP469" s="1080"/>
    </row>
    <row r="470" spans="1:42" outlineLevel="2" x14ac:dyDescent="0.2">
      <c r="B470" s="1078">
        <v>5987092</v>
      </c>
      <c r="C470" s="1075">
        <v>5987092</v>
      </c>
      <c r="D470" s="1075" t="s">
        <v>1018</v>
      </c>
      <c r="E470" s="1075" t="s">
        <v>1084</v>
      </c>
      <c r="F470" s="1075">
        <v>996000</v>
      </c>
      <c r="M470" s="1075" t="s">
        <v>425</v>
      </c>
      <c r="N470" s="1075" t="s">
        <v>425</v>
      </c>
      <c r="O470" s="1077">
        <v>0</v>
      </c>
      <c r="Q470" s="1085">
        <v>0</v>
      </c>
      <c r="R470" s="1085"/>
      <c r="S470" s="1085"/>
      <c r="T470" s="1085"/>
      <c r="U470" s="1085"/>
      <c r="V470" s="1085"/>
      <c r="W470" s="1085"/>
      <c r="X470" s="1085"/>
      <c r="Y470" s="1085"/>
      <c r="Z470" s="1085"/>
      <c r="AA470" s="1085"/>
      <c r="AB470" s="1085"/>
      <c r="AC470" s="1085"/>
      <c r="AD470" s="1085"/>
      <c r="AE470" s="1085"/>
      <c r="AF470" s="1085"/>
      <c r="AG470" s="1096">
        <v>0</v>
      </c>
      <c r="AH470" s="1085">
        <v>0</v>
      </c>
      <c r="AI470" s="1074">
        <v>0</v>
      </c>
      <c r="AJ470" s="1077">
        <v>0</v>
      </c>
      <c r="AK470" s="1074">
        <v>0</v>
      </c>
      <c r="AL470" s="1109">
        <v>0</v>
      </c>
      <c r="AM470" s="1074">
        <v>0</v>
      </c>
      <c r="AN470" s="1085">
        <f t="shared" si="198"/>
        <v>0</v>
      </c>
      <c r="AO470" s="1074">
        <f t="shared" si="199"/>
        <v>0</v>
      </c>
      <c r="AP470" s="1080"/>
    </row>
    <row r="471" spans="1:42" outlineLevel="2" x14ac:dyDescent="0.2">
      <c r="A471" s="1075">
        <v>506</v>
      </c>
      <c r="B471" s="1078">
        <v>5760408</v>
      </c>
      <c r="C471" s="1075">
        <v>57604084</v>
      </c>
      <c r="D471" s="1075" t="s">
        <v>2322</v>
      </c>
      <c r="E471" s="1075" t="s">
        <v>1691</v>
      </c>
      <c r="F471" s="1075">
        <v>996000</v>
      </c>
      <c r="M471" s="1075" t="s">
        <v>425</v>
      </c>
      <c r="N471" s="1075" t="s">
        <v>425</v>
      </c>
      <c r="O471" s="1077">
        <v>0</v>
      </c>
      <c r="Q471" s="1085"/>
      <c r="R471" s="1085"/>
      <c r="S471" s="1085"/>
      <c r="T471" s="1085"/>
      <c r="U471" s="1085"/>
      <c r="V471" s="1085"/>
      <c r="W471" s="1085"/>
      <c r="X471" s="1085"/>
      <c r="Y471" s="1085"/>
      <c r="Z471" s="1085"/>
      <c r="AA471" s="1085"/>
      <c r="AB471" s="1085"/>
      <c r="AC471" s="1085"/>
      <c r="AD471" s="1085"/>
      <c r="AE471" s="1085"/>
      <c r="AF471" s="1085"/>
      <c r="AG471" s="1096"/>
      <c r="AH471" s="1085"/>
      <c r="AI471" s="1074"/>
      <c r="AK471" s="1074"/>
      <c r="AL471" s="1109">
        <v>0.6</v>
      </c>
      <c r="AM471" s="1074">
        <v>150000</v>
      </c>
      <c r="AN471" s="1085">
        <v>0.6</v>
      </c>
      <c r="AO471" s="1074">
        <v>70000</v>
      </c>
      <c r="AP471" s="1080"/>
    </row>
    <row r="472" spans="1:42" outlineLevel="2" x14ac:dyDescent="0.2">
      <c r="B472" s="1079">
        <v>5625702</v>
      </c>
      <c r="C472" s="1079">
        <v>5625702</v>
      </c>
      <c r="D472" s="1081" t="s">
        <v>1088</v>
      </c>
      <c r="E472" s="1081" t="s">
        <v>1087</v>
      </c>
      <c r="F472" s="1079">
        <v>996000</v>
      </c>
      <c r="M472" s="1075" t="s">
        <v>425</v>
      </c>
      <c r="N472" s="1075" t="s">
        <v>425</v>
      </c>
      <c r="O472" s="1082">
        <v>0</v>
      </c>
      <c r="Q472" s="1086">
        <v>0</v>
      </c>
      <c r="R472" s="1085"/>
      <c r="S472" s="1085"/>
      <c r="T472" s="1085"/>
      <c r="U472" s="1085"/>
      <c r="V472" s="1085"/>
      <c r="W472" s="1085"/>
      <c r="X472" s="1085"/>
      <c r="Y472" s="1085"/>
      <c r="Z472" s="1085"/>
      <c r="AA472" s="1085"/>
      <c r="AB472" s="1085"/>
      <c r="AC472" s="1085"/>
      <c r="AD472" s="1085"/>
      <c r="AE472" s="1085"/>
      <c r="AF472" s="1085"/>
      <c r="AG472" s="1097">
        <v>0</v>
      </c>
      <c r="AH472" s="1086">
        <f>Q472*3</f>
        <v>0</v>
      </c>
      <c r="AI472" s="1074">
        <v>0</v>
      </c>
      <c r="AJ472" s="1087">
        <v>0.25</v>
      </c>
      <c r="AK472" s="1083">
        <v>25000</v>
      </c>
      <c r="AL472" s="1109">
        <v>0.54</v>
      </c>
      <c r="AM472" s="1074">
        <v>70000</v>
      </c>
      <c r="AN472" s="1085">
        <f t="shared" si="198"/>
        <v>0.54</v>
      </c>
      <c r="AO472" s="1074">
        <f t="shared" si="199"/>
        <v>70000</v>
      </c>
      <c r="AP472" s="1080"/>
    </row>
    <row r="473" spans="1:42" outlineLevel="2" x14ac:dyDescent="0.2">
      <c r="A473" s="1075">
        <v>506</v>
      </c>
      <c r="B473" s="1075">
        <v>30095375</v>
      </c>
      <c r="C473" s="1075">
        <v>300953759</v>
      </c>
      <c r="D473" s="1075" t="s">
        <v>2436</v>
      </c>
      <c r="E473" s="1075" t="s">
        <v>2430</v>
      </c>
      <c r="F473" s="1079">
        <v>996000</v>
      </c>
      <c r="M473" s="1075" t="s">
        <v>425</v>
      </c>
      <c r="N473" s="1075" t="s">
        <v>425</v>
      </c>
      <c r="O473" s="1082">
        <v>0</v>
      </c>
      <c r="Q473" s="1086"/>
      <c r="R473" s="1085"/>
      <c r="S473" s="1085"/>
      <c r="T473" s="1085"/>
      <c r="U473" s="1085"/>
      <c r="V473" s="1085"/>
      <c r="W473" s="1085"/>
      <c r="X473" s="1085"/>
      <c r="Y473" s="1085"/>
      <c r="Z473" s="1085"/>
      <c r="AA473" s="1085"/>
      <c r="AB473" s="1085"/>
      <c r="AC473" s="1085"/>
      <c r="AD473" s="1085"/>
      <c r="AE473" s="1085"/>
      <c r="AF473" s="1085"/>
      <c r="AG473" s="1097"/>
      <c r="AH473" s="1086"/>
      <c r="AI473" s="1074"/>
      <c r="AJ473" s="1087"/>
      <c r="AK473" s="1083"/>
      <c r="AL473" s="1109">
        <v>0</v>
      </c>
      <c r="AM473" s="1074">
        <v>30000</v>
      </c>
      <c r="AN473" s="1085">
        <f t="shared" si="198"/>
        <v>0</v>
      </c>
      <c r="AO473" s="1074">
        <f t="shared" si="199"/>
        <v>30000</v>
      </c>
      <c r="AP473" s="1080"/>
    </row>
    <row r="474" spans="1:42" outlineLevel="2" x14ac:dyDescent="0.2">
      <c r="A474" s="1075">
        <v>506</v>
      </c>
      <c r="B474" s="1078">
        <v>5938201</v>
      </c>
      <c r="C474" s="1075">
        <v>59382010</v>
      </c>
      <c r="D474" s="1075" t="s">
        <v>2131</v>
      </c>
      <c r="E474" s="1075" t="s">
        <v>2381</v>
      </c>
      <c r="F474" s="1079">
        <v>996000</v>
      </c>
      <c r="G474" s="1075" t="s">
        <v>2107</v>
      </c>
      <c r="H474" s="1075">
        <v>90534</v>
      </c>
      <c r="I474" s="1075">
        <v>1</v>
      </c>
      <c r="J474" s="1075">
        <v>0</v>
      </c>
      <c r="K474" s="1075">
        <v>0</v>
      </c>
      <c r="L474" s="1075">
        <v>0</v>
      </c>
      <c r="M474" s="1075" t="s">
        <v>425</v>
      </c>
      <c r="N474" s="1075" t="s">
        <v>425</v>
      </c>
      <c r="O474" s="1077">
        <f t="shared" ref="O474:O486" si="200">P474/100</f>
        <v>0</v>
      </c>
      <c r="P474" s="1075">
        <v>0</v>
      </c>
      <c r="Q474" s="1074">
        <v>2463</v>
      </c>
      <c r="R474" s="1074">
        <v>0</v>
      </c>
      <c r="S474" s="1074">
        <v>0</v>
      </c>
      <c r="T474" s="1074">
        <v>2463</v>
      </c>
      <c r="U474" s="1074">
        <v>0</v>
      </c>
      <c r="V474" s="1074">
        <v>0</v>
      </c>
      <c r="W474" s="1074">
        <v>0</v>
      </c>
      <c r="X474" s="1074">
        <v>0</v>
      </c>
      <c r="Y474" s="1074">
        <v>0</v>
      </c>
      <c r="Z474" s="1074">
        <v>0</v>
      </c>
      <c r="AA474" s="1074">
        <v>2463</v>
      </c>
      <c r="AB474" s="1074">
        <v>0</v>
      </c>
      <c r="AC474" s="1074">
        <v>0</v>
      </c>
      <c r="AD474" s="1074">
        <v>0</v>
      </c>
      <c r="AE474" s="1074">
        <v>1997000</v>
      </c>
      <c r="AF474" s="1074" t="s">
        <v>251</v>
      </c>
      <c r="AG474" s="1095">
        <f>VLOOKUP(B474,עזר!A$2:B$329,2,FALSE)</f>
        <v>2463</v>
      </c>
      <c r="AH474" s="1074">
        <f>Q474*3</f>
        <v>7389</v>
      </c>
      <c r="AI474" s="1074">
        <f>AH474+AG474</f>
        <v>9852</v>
      </c>
      <c r="AJ474" s="1077">
        <v>0</v>
      </c>
      <c r="AK474" s="1074">
        <v>0</v>
      </c>
      <c r="AL474" s="1109">
        <f t="shared" ref="AL474:AL486" si="201">O474</f>
        <v>0</v>
      </c>
      <c r="AM474" s="1074">
        <f t="shared" ref="AM474:AM486" si="202">AI474*1.02</f>
        <v>10049.040000000001</v>
      </c>
      <c r="AN474" s="1085">
        <f t="shared" ref="AN474:AN486" si="203">AL474</f>
        <v>0</v>
      </c>
      <c r="AO474" s="1074">
        <f t="shared" ref="AO474:AO486" si="204">AM474</f>
        <v>10049.040000000001</v>
      </c>
      <c r="AP474" s="1080"/>
    </row>
    <row r="475" spans="1:42" outlineLevel="2" x14ac:dyDescent="0.2">
      <c r="A475" s="1075">
        <v>506</v>
      </c>
      <c r="B475" s="1078">
        <v>9999999999</v>
      </c>
      <c r="C475" s="1075">
        <v>999999999</v>
      </c>
      <c r="D475" s="1075" t="s">
        <v>1392</v>
      </c>
      <c r="E475" s="1075" t="s">
        <v>1051</v>
      </c>
      <c r="F475" s="1079">
        <v>996000</v>
      </c>
      <c r="M475" s="1075" t="s">
        <v>425</v>
      </c>
      <c r="N475" s="1075" t="s">
        <v>425</v>
      </c>
      <c r="O475" s="1077">
        <f t="shared" si="200"/>
        <v>0</v>
      </c>
      <c r="Q475" s="1085">
        <v>0</v>
      </c>
      <c r="R475" s="1085"/>
      <c r="S475" s="1085"/>
      <c r="T475" s="1085"/>
      <c r="U475" s="1085"/>
      <c r="V475" s="1085"/>
      <c r="W475" s="1085"/>
      <c r="X475" s="1085"/>
      <c r="Y475" s="1085"/>
      <c r="Z475" s="1085"/>
      <c r="AA475" s="1085"/>
      <c r="AB475" s="1085"/>
      <c r="AC475" s="1085"/>
      <c r="AD475" s="1085"/>
      <c r="AE475" s="1085"/>
      <c r="AF475" s="1085"/>
      <c r="AG475" s="1096">
        <v>0</v>
      </c>
      <c r="AH475" s="1085">
        <f>Q475*3</f>
        <v>0</v>
      </c>
      <c r="AI475" s="1085">
        <v>0</v>
      </c>
      <c r="AJ475" s="1077">
        <v>0.5</v>
      </c>
      <c r="AK475" s="1074">
        <v>46000</v>
      </c>
      <c r="AL475" s="1109">
        <f t="shared" si="201"/>
        <v>0</v>
      </c>
      <c r="AM475" s="1074">
        <f t="shared" si="202"/>
        <v>0</v>
      </c>
      <c r="AN475" s="1085">
        <f t="shared" si="203"/>
        <v>0</v>
      </c>
      <c r="AO475" s="1074">
        <f t="shared" si="204"/>
        <v>0</v>
      </c>
      <c r="AP475" s="1080"/>
    </row>
    <row r="476" spans="1:42" outlineLevel="2" x14ac:dyDescent="0.2">
      <c r="A476" s="1075">
        <v>506</v>
      </c>
      <c r="B476" s="1078">
        <v>5947985</v>
      </c>
      <c r="C476" s="1075">
        <v>59479857</v>
      </c>
      <c r="D476" s="1075" t="s">
        <v>2190</v>
      </c>
      <c r="E476" s="1075" t="s">
        <v>2191</v>
      </c>
      <c r="F476" s="1079">
        <v>996000</v>
      </c>
      <c r="G476" s="1075" t="s">
        <v>2107</v>
      </c>
      <c r="H476" s="1075">
        <v>90534</v>
      </c>
      <c r="I476" s="1075">
        <v>1</v>
      </c>
      <c r="J476" s="1075">
        <v>0</v>
      </c>
      <c r="K476" s="1075">
        <v>0</v>
      </c>
      <c r="L476" s="1075">
        <v>0</v>
      </c>
      <c r="M476" s="1075" t="s">
        <v>425</v>
      </c>
      <c r="N476" s="1075" t="s">
        <v>425</v>
      </c>
      <c r="O476" s="1077">
        <f>P476/100</f>
        <v>0</v>
      </c>
      <c r="P476" s="1075">
        <v>0</v>
      </c>
      <c r="Q476" s="1074">
        <v>2910.8</v>
      </c>
      <c r="R476" s="1074">
        <v>0</v>
      </c>
      <c r="S476" s="1074">
        <v>0</v>
      </c>
      <c r="T476" s="1074">
        <v>0</v>
      </c>
      <c r="U476" s="1074">
        <v>0</v>
      </c>
      <c r="V476" s="1074">
        <v>0</v>
      </c>
      <c r="W476" s="1074">
        <v>0</v>
      </c>
      <c r="X476" s="1074">
        <v>0</v>
      </c>
      <c r="Y476" s="1074">
        <v>0</v>
      </c>
      <c r="Z476" s="1074">
        <v>0</v>
      </c>
      <c r="AA476" s="1074">
        <v>0</v>
      </c>
      <c r="AB476" s="1074">
        <v>203.1</v>
      </c>
      <c r="AC476" s="1074">
        <v>0</v>
      </c>
      <c r="AD476" s="1074">
        <v>0</v>
      </c>
      <c r="AE476" s="1074">
        <v>1813202</v>
      </c>
      <c r="AF476" s="1074" t="s">
        <v>251</v>
      </c>
      <c r="AG476" s="1095">
        <f>VLOOKUP(B476,עזר!A$2:B$329,2,FALSE)</f>
        <v>5821.6</v>
      </c>
      <c r="AH476" s="1074">
        <f>Q476*3</f>
        <v>8732.4000000000015</v>
      </c>
      <c r="AI476" s="1074">
        <f>AH476+AG476</f>
        <v>14554.000000000002</v>
      </c>
      <c r="AJ476" s="1077">
        <f>VLOOKUP(B476,Sheet1!D$2:K$430,7,FALSE)</f>
        <v>0.6</v>
      </c>
      <c r="AK476" s="1074">
        <f>VLOOKUP(B476,Sheet1!D$2:L$430,8,FALSE)</f>
        <v>10174</v>
      </c>
      <c r="AL476" s="1109">
        <f>O476</f>
        <v>0</v>
      </c>
      <c r="AM476" s="1074">
        <v>30000</v>
      </c>
      <c r="AN476" s="1085">
        <f>AL476</f>
        <v>0</v>
      </c>
      <c r="AO476" s="1074">
        <f>AM476</f>
        <v>30000</v>
      </c>
      <c r="AP476" s="1080"/>
    </row>
    <row r="477" spans="1:42" outlineLevel="2" x14ac:dyDescent="0.2">
      <c r="B477" s="1079">
        <v>2824491</v>
      </c>
      <c r="C477" s="1079">
        <v>2824491</v>
      </c>
      <c r="D477" s="1081" t="s">
        <v>1135</v>
      </c>
      <c r="E477" s="1081" t="s">
        <v>1394</v>
      </c>
      <c r="F477" s="1079">
        <v>996000</v>
      </c>
      <c r="M477" s="1075" t="s">
        <v>425</v>
      </c>
      <c r="N477" s="1075" t="s">
        <v>425</v>
      </c>
      <c r="O477" s="1077">
        <f t="shared" si="200"/>
        <v>0</v>
      </c>
      <c r="Q477" s="1086">
        <v>0</v>
      </c>
      <c r="R477" s="1085"/>
      <c r="S477" s="1085"/>
      <c r="T477" s="1085"/>
      <c r="U477" s="1085"/>
      <c r="V477" s="1085"/>
      <c r="W477" s="1085"/>
      <c r="X477" s="1085"/>
      <c r="Y477" s="1085"/>
      <c r="Z477" s="1085"/>
      <c r="AA477" s="1085"/>
      <c r="AB477" s="1085"/>
      <c r="AC477" s="1085"/>
      <c r="AD477" s="1085"/>
      <c r="AE477" s="1085"/>
      <c r="AF477" s="1085"/>
      <c r="AG477" s="1097">
        <v>0</v>
      </c>
      <c r="AH477" s="1086">
        <v>0</v>
      </c>
      <c r="AI477" s="1085">
        <v>0</v>
      </c>
      <c r="AJ477" s="1087">
        <v>0.35</v>
      </c>
      <c r="AK477" s="1083">
        <v>55002</v>
      </c>
      <c r="AL477" s="1109">
        <f t="shared" si="201"/>
        <v>0</v>
      </c>
      <c r="AM477" s="1074">
        <f t="shared" si="202"/>
        <v>0</v>
      </c>
      <c r="AN477" s="1085">
        <f t="shared" si="203"/>
        <v>0</v>
      </c>
      <c r="AO477" s="1074">
        <f t="shared" si="204"/>
        <v>0</v>
      </c>
      <c r="AP477" s="1080"/>
    </row>
    <row r="478" spans="1:42" outlineLevel="2" x14ac:dyDescent="0.2">
      <c r="B478" s="1079">
        <v>5763016</v>
      </c>
      <c r="C478" s="1079">
        <v>5763016</v>
      </c>
      <c r="D478" s="1081" t="s">
        <v>967</v>
      </c>
      <c r="E478" s="1081" t="s">
        <v>1397</v>
      </c>
      <c r="F478" s="1079">
        <v>996000</v>
      </c>
      <c r="M478" s="1075" t="s">
        <v>425</v>
      </c>
      <c r="N478" s="1075" t="s">
        <v>425</v>
      </c>
      <c r="O478" s="1077">
        <f t="shared" si="200"/>
        <v>0</v>
      </c>
      <c r="Q478" s="1086">
        <v>0</v>
      </c>
      <c r="R478" s="1085"/>
      <c r="S478" s="1085"/>
      <c r="T478" s="1085"/>
      <c r="U478" s="1085"/>
      <c r="V478" s="1085"/>
      <c r="W478" s="1085"/>
      <c r="X478" s="1085"/>
      <c r="Y478" s="1085"/>
      <c r="Z478" s="1085"/>
      <c r="AA478" s="1085"/>
      <c r="AB478" s="1085"/>
      <c r="AC478" s="1085"/>
      <c r="AD478" s="1085"/>
      <c r="AE478" s="1085"/>
      <c r="AF478" s="1085"/>
      <c r="AG478" s="1097">
        <v>0</v>
      </c>
      <c r="AH478" s="1086">
        <v>0</v>
      </c>
      <c r="AI478" s="1085">
        <v>0</v>
      </c>
      <c r="AJ478" s="1087">
        <v>0.54</v>
      </c>
      <c r="AK478" s="1083">
        <v>98267</v>
      </c>
      <c r="AL478" s="1109">
        <f t="shared" si="201"/>
        <v>0</v>
      </c>
      <c r="AM478" s="1074">
        <f t="shared" si="202"/>
        <v>0</v>
      </c>
      <c r="AN478" s="1085">
        <f t="shared" si="203"/>
        <v>0</v>
      </c>
      <c r="AO478" s="1074">
        <f t="shared" si="204"/>
        <v>0</v>
      </c>
      <c r="AP478" s="1080"/>
    </row>
    <row r="479" spans="1:42" outlineLevel="2" x14ac:dyDescent="0.2">
      <c r="B479" s="1079">
        <v>5760408</v>
      </c>
      <c r="C479" s="1079">
        <v>5760408</v>
      </c>
      <c r="D479" s="1081" t="s">
        <v>1006</v>
      </c>
      <c r="E479" s="1081" t="s">
        <v>1398</v>
      </c>
      <c r="F479" s="1079">
        <v>996000</v>
      </c>
      <c r="M479" s="1075" t="s">
        <v>425</v>
      </c>
      <c r="N479" s="1075" t="s">
        <v>425</v>
      </c>
      <c r="O479" s="1077">
        <f t="shared" si="200"/>
        <v>0</v>
      </c>
      <c r="Q479" s="1086">
        <v>0</v>
      </c>
      <c r="R479" s="1085"/>
      <c r="S479" s="1085"/>
      <c r="T479" s="1085"/>
      <c r="U479" s="1085"/>
      <c r="V479" s="1085"/>
      <c r="W479" s="1085"/>
      <c r="X479" s="1085"/>
      <c r="Y479" s="1085"/>
      <c r="Z479" s="1085"/>
      <c r="AA479" s="1085"/>
      <c r="AB479" s="1085"/>
      <c r="AC479" s="1085"/>
      <c r="AD479" s="1085"/>
      <c r="AE479" s="1085"/>
      <c r="AF479" s="1085"/>
      <c r="AG479" s="1097">
        <v>0</v>
      </c>
      <c r="AH479" s="1086">
        <v>0</v>
      </c>
      <c r="AI479" s="1085">
        <v>0</v>
      </c>
      <c r="AJ479" s="1087">
        <v>0.62</v>
      </c>
      <c r="AK479" s="1083">
        <v>0</v>
      </c>
      <c r="AL479" s="1109">
        <f t="shared" si="201"/>
        <v>0</v>
      </c>
      <c r="AM479" s="1074">
        <f t="shared" si="202"/>
        <v>0</v>
      </c>
      <c r="AN479" s="1085">
        <f t="shared" si="203"/>
        <v>0</v>
      </c>
      <c r="AO479" s="1074">
        <f t="shared" si="204"/>
        <v>0</v>
      </c>
      <c r="AP479" s="1080"/>
    </row>
    <row r="480" spans="1:42" outlineLevel="2" x14ac:dyDescent="0.2">
      <c r="B480" s="1079">
        <v>5625702</v>
      </c>
      <c r="C480" s="1079">
        <v>5625702</v>
      </c>
      <c r="D480" s="1081" t="s">
        <v>1088</v>
      </c>
      <c r="E480" s="1081" t="s">
        <v>1087</v>
      </c>
      <c r="F480" s="1079">
        <v>996000</v>
      </c>
      <c r="M480" s="1075" t="s">
        <v>425</v>
      </c>
      <c r="N480" s="1075" t="s">
        <v>425</v>
      </c>
      <c r="O480" s="1077">
        <f t="shared" si="200"/>
        <v>0</v>
      </c>
      <c r="Q480" s="1086">
        <v>0</v>
      </c>
      <c r="R480" s="1085"/>
      <c r="S480" s="1085"/>
      <c r="T480" s="1085"/>
      <c r="U480" s="1085"/>
      <c r="V480" s="1085"/>
      <c r="W480" s="1085"/>
      <c r="X480" s="1085"/>
      <c r="Y480" s="1085"/>
      <c r="Z480" s="1085"/>
      <c r="AA480" s="1085"/>
      <c r="AB480" s="1085"/>
      <c r="AC480" s="1085"/>
      <c r="AD480" s="1085"/>
      <c r="AE480" s="1085"/>
      <c r="AF480" s="1085"/>
      <c r="AG480" s="1097">
        <v>0</v>
      </c>
      <c r="AH480" s="1086">
        <v>0</v>
      </c>
      <c r="AI480" s="1085">
        <v>0</v>
      </c>
      <c r="AJ480" s="1087">
        <v>0.6</v>
      </c>
      <c r="AK480" s="1083">
        <v>173159</v>
      </c>
      <c r="AL480" s="1109">
        <f t="shared" si="201"/>
        <v>0</v>
      </c>
      <c r="AM480" s="1074">
        <f t="shared" si="202"/>
        <v>0</v>
      </c>
      <c r="AN480" s="1085">
        <f t="shared" si="203"/>
        <v>0</v>
      </c>
      <c r="AO480" s="1074">
        <f t="shared" si="204"/>
        <v>0</v>
      </c>
      <c r="AP480" s="1080"/>
    </row>
    <row r="481" spans="2:42" outlineLevel="2" x14ac:dyDescent="0.2">
      <c r="B481" s="1079">
        <v>5443083</v>
      </c>
      <c r="C481" s="1079">
        <v>5443083</v>
      </c>
      <c r="D481" s="1081" t="s">
        <v>1022</v>
      </c>
      <c r="E481" s="1081" t="s">
        <v>924</v>
      </c>
      <c r="F481" s="1079">
        <v>996000</v>
      </c>
      <c r="M481" s="1075" t="s">
        <v>425</v>
      </c>
      <c r="N481" s="1075" t="s">
        <v>425</v>
      </c>
      <c r="O481" s="1077">
        <f t="shared" si="200"/>
        <v>0</v>
      </c>
      <c r="Q481" s="1086">
        <v>0</v>
      </c>
      <c r="R481" s="1085"/>
      <c r="S481" s="1085"/>
      <c r="T481" s="1085"/>
      <c r="U481" s="1085"/>
      <c r="V481" s="1085"/>
      <c r="W481" s="1085"/>
      <c r="X481" s="1085"/>
      <c r="Y481" s="1085"/>
      <c r="Z481" s="1085"/>
      <c r="AA481" s="1085"/>
      <c r="AB481" s="1085"/>
      <c r="AC481" s="1085"/>
      <c r="AD481" s="1085"/>
      <c r="AE481" s="1085"/>
      <c r="AF481" s="1085"/>
      <c r="AG481" s="1097">
        <v>0</v>
      </c>
      <c r="AH481" s="1086">
        <v>0</v>
      </c>
      <c r="AI481" s="1085">
        <v>0</v>
      </c>
      <c r="AJ481" s="1087">
        <v>0.53</v>
      </c>
      <c r="AK481" s="1083">
        <v>275000</v>
      </c>
      <c r="AL481" s="1109">
        <f t="shared" si="201"/>
        <v>0</v>
      </c>
      <c r="AM481" s="1074">
        <f t="shared" si="202"/>
        <v>0</v>
      </c>
      <c r="AN481" s="1085">
        <f t="shared" si="203"/>
        <v>0</v>
      </c>
      <c r="AO481" s="1074">
        <f t="shared" si="204"/>
        <v>0</v>
      </c>
      <c r="AP481" s="1080"/>
    </row>
    <row r="482" spans="2:42" outlineLevel="2" x14ac:dyDescent="0.2">
      <c r="B482" s="1079">
        <v>5078925</v>
      </c>
      <c r="C482" s="1079">
        <v>5078925</v>
      </c>
      <c r="D482" s="1081" t="s">
        <v>1400</v>
      </c>
      <c r="E482" s="1081" t="s">
        <v>1401</v>
      </c>
      <c r="F482" s="1079">
        <v>996000</v>
      </c>
      <c r="M482" s="1075" t="s">
        <v>425</v>
      </c>
      <c r="N482" s="1075" t="s">
        <v>425</v>
      </c>
      <c r="O482" s="1077">
        <f t="shared" si="200"/>
        <v>0</v>
      </c>
      <c r="Q482" s="1086">
        <v>0</v>
      </c>
      <c r="R482" s="1085"/>
      <c r="S482" s="1085"/>
      <c r="T482" s="1085"/>
      <c r="U482" s="1085"/>
      <c r="V482" s="1085"/>
      <c r="W482" s="1085"/>
      <c r="X482" s="1085"/>
      <c r="Y482" s="1085"/>
      <c r="Z482" s="1085"/>
      <c r="AA482" s="1085"/>
      <c r="AB482" s="1085"/>
      <c r="AC482" s="1085"/>
      <c r="AD482" s="1085"/>
      <c r="AE482" s="1085"/>
      <c r="AF482" s="1085"/>
      <c r="AG482" s="1097">
        <v>0</v>
      </c>
      <c r="AH482" s="1086">
        <v>0</v>
      </c>
      <c r="AI482" s="1085">
        <v>0</v>
      </c>
      <c r="AJ482" s="1087">
        <v>0.43</v>
      </c>
      <c r="AK482" s="1083">
        <v>85000</v>
      </c>
      <c r="AL482" s="1109">
        <f t="shared" si="201"/>
        <v>0</v>
      </c>
      <c r="AM482" s="1074">
        <f t="shared" si="202"/>
        <v>0</v>
      </c>
      <c r="AN482" s="1085">
        <f t="shared" si="203"/>
        <v>0</v>
      </c>
      <c r="AO482" s="1074">
        <f t="shared" si="204"/>
        <v>0</v>
      </c>
      <c r="AP482" s="1080"/>
    </row>
    <row r="483" spans="2:42" outlineLevel="2" x14ac:dyDescent="0.2">
      <c r="B483" s="1079">
        <v>5043571</v>
      </c>
      <c r="C483" s="1079">
        <v>5043571</v>
      </c>
      <c r="D483" s="1081" t="s">
        <v>1071</v>
      </c>
      <c r="E483" s="1081" t="s">
        <v>1077</v>
      </c>
      <c r="F483" s="1079">
        <v>996000</v>
      </c>
      <c r="M483" s="1075" t="s">
        <v>425</v>
      </c>
      <c r="N483" s="1075" t="s">
        <v>425</v>
      </c>
      <c r="O483" s="1077">
        <f t="shared" si="200"/>
        <v>0</v>
      </c>
      <c r="Q483" s="1086">
        <v>0</v>
      </c>
      <c r="R483" s="1085"/>
      <c r="S483" s="1085"/>
      <c r="T483" s="1085"/>
      <c r="U483" s="1085"/>
      <c r="V483" s="1085"/>
      <c r="W483" s="1085"/>
      <c r="X483" s="1085"/>
      <c r="Y483" s="1085"/>
      <c r="Z483" s="1085"/>
      <c r="AA483" s="1085"/>
      <c r="AB483" s="1085"/>
      <c r="AC483" s="1085"/>
      <c r="AD483" s="1085"/>
      <c r="AE483" s="1085"/>
      <c r="AF483" s="1085"/>
      <c r="AG483" s="1097">
        <v>0</v>
      </c>
      <c r="AH483" s="1086">
        <v>0</v>
      </c>
      <c r="AI483" s="1085">
        <v>0</v>
      </c>
      <c r="AJ483" s="1087">
        <v>0.6</v>
      </c>
      <c r="AK483" s="1083">
        <v>39000</v>
      </c>
      <c r="AL483" s="1109">
        <f t="shared" si="201"/>
        <v>0</v>
      </c>
      <c r="AM483" s="1074">
        <f t="shared" si="202"/>
        <v>0</v>
      </c>
      <c r="AN483" s="1085">
        <f t="shared" si="203"/>
        <v>0</v>
      </c>
      <c r="AO483" s="1074">
        <f t="shared" si="204"/>
        <v>0</v>
      </c>
      <c r="AP483" s="1080"/>
    </row>
    <row r="484" spans="2:42" outlineLevel="2" x14ac:dyDescent="0.2">
      <c r="B484" s="1079">
        <v>5239197</v>
      </c>
      <c r="C484" s="1079">
        <v>5239197</v>
      </c>
      <c r="D484" s="1081" t="s">
        <v>1776</v>
      </c>
      <c r="E484" s="1081" t="s">
        <v>1777</v>
      </c>
      <c r="F484" s="1079">
        <v>996000</v>
      </c>
      <c r="M484" s="1075" t="s">
        <v>425</v>
      </c>
      <c r="N484" s="1075" t="s">
        <v>425</v>
      </c>
      <c r="O484" s="1077">
        <f t="shared" si="200"/>
        <v>0</v>
      </c>
      <c r="Q484" s="1086">
        <v>0</v>
      </c>
      <c r="R484" s="1085"/>
      <c r="S484" s="1085"/>
      <c r="T484" s="1085"/>
      <c r="U484" s="1085"/>
      <c r="V484" s="1085"/>
      <c r="W484" s="1085"/>
      <c r="X484" s="1085"/>
      <c r="Y484" s="1085"/>
      <c r="Z484" s="1085"/>
      <c r="AA484" s="1085"/>
      <c r="AB484" s="1085"/>
      <c r="AC484" s="1085"/>
      <c r="AD484" s="1085"/>
      <c r="AE484" s="1085"/>
      <c r="AF484" s="1085"/>
      <c r="AG484" s="1097">
        <v>0</v>
      </c>
      <c r="AH484" s="1086">
        <v>0</v>
      </c>
      <c r="AI484" s="1085">
        <v>0</v>
      </c>
      <c r="AJ484" s="1087">
        <v>0</v>
      </c>
      <c r="AK484" s="1083">
        <v>80000</v>
      </c>
      <c r="AL484" s="1109">
        <f t="shared" si="201"/>
        <v>0</v>
      </c>
      <c r="AM484" s="1074">
        <f t="shared" si="202"/>
        <v>0</v>
      </c>
      <c r="AN484" s="1085">
        <f t="shared" si="203"/>
        <v>0</v>
      </c>
      <c r="AO484" s="1074">
        <f t="shared" si="204"/>
        <v>0</v>
      </c>
      <c r="AP484" s="1080"/>
    </row>
    <row r="485" spans="2:42" outlineLevel="2" x14ac:dyDescent="0.2">
      <c r="B485" s="1079">
        <v>5250834</v>
      </c>
      <c r="C485" s="1079">
        <v>5250834</v>
      </c>
      <c r="D485" s="1081" t="s">
        <v>1079</v>
      </c>
      <c r="E485" s="1081" t="s">
        <v>990</v>
      </c>
      <c r="F485" s="1079">
        <v>996000</v>
      </c>
      <c r="M485" s="1075" t="s">
        <v>425</v>
      </c>
      <c r="N485" s="1075" t="s">
        <v>425</v>
      </c>
      <c r="O485" s="1077">
        <f t="shared" si="200"/>
        <v>0</v>
      </c>
      <c r="Q485" s="1086">
        <v>0</v>
      </c>
      <c r="R485" s="1085"/>
      <c r="S485" s="1085"/>
      <c r="T485" s="1085"/>
      <c r="U485" s="1085"/>
      <c r="V485" s="1085"/>
      <c r="W485" s="1085"/>
      <c r="X485" s="1085"/>
      <c r="Y485" s="1085"/>
      <c r="Z485" s="1085"/>
      <c r="AA485" s="1085"/>
      <c r="AB485" s="1085"/>
      <c r="AC485" s="1085"/>
      <c r="AD485" s="1085"/>
      <c r="AE485" s="1085"/>
      <c r="AF485" s="1085"/>
      <c r="AG485" s="1097">
        <v>0</v>
      </c>
      <c r="AH485" s="1086">
        <v>0</v>
      </c>
      <c r="AI485" s="1085">
        <v>0</v>
      </c>
      <c r="AJ485" s="1087">
        <f>0.5*0.8</f>
        <v>0.4</v>
      </c>
      <c r="AK485" s="1084">
        <v>56374</v>
      </c>
      <c r="AL485" s="1109">
        <f t="shared" si="201"/>
        <v>0</v>
      </c>
      <c r="AM485" s="1074">
        <f t="shared" si="202"/>
        <v>0</v>
      </c>
      <c r="AN485" s="1085">
        <f t="shared" si="203"/>
        <v>0</v>
      </c>
      <c r="AO485" s="1074">
        <f t="shared" si="204"/>
        <v>0</v>
      </c>
      <c r="AP485" s="1080"/>
    </row>
    <row r="486" spans="2:42" outlineLevel="2" x14ac:dyDescent="0.2">
      <c r="B486" s="1079">
        <v>5250845</v>
      </c>
      <c r="C486" s="1079">
        <v>5250845</v>
      </c>
      <c r="D486" s="1081" t="s">
        <v>982</v>
      </c>
      <c r="E486" s="1081" t="s">
        <v>990</v>
      </c>
      <c r="F486" s="1079">
        <v>996000</v>
      </c>
      <c r="M486" s="1075" t="s">
        <v>425</v>
      </c>
      <c r="N486" s="1075" t="s">
        <v>425</v>
      </c>
      <c r="O486" s="1077">
        <f t="shared" si="200"/>
        <v>0</v>
      </c>
      <c r="Q486" s="1086">
        <v>0</v>
      </c>
      <c r="R486" s="1085"/>
      <c r="S486" s="1085"/>
      <c r="T486" s="1085"/>
      <c r="U486" s="1085"/>
      <c r="V486" s="1085"/>
      <c r="W486" s="1085"/>
      <c r="X486" s="1085"/>
      <c r="Y486" s="1085"/>
      <c r="Z486" s="1085"/>
      <c r="AA486" s="1085"/>
      <c r="AB486" s="1085"/>
      <c r="AC486" s="1085"/>
      <c r="AD486" s="1085"/>
      <c r="AE486" s="1085"/>
      <c r="AF486" s="1085"/>
      <c r="AG486" s="1097">
        <v>0</v>
      </c>
      <c r="AH486" s="1086">
        <v>0</v>
      </c>
      <c r="AI486" s="1085">
        <v>0</v>
      </c>
      <c r="AJ486" s="1087">
        <v>0.32</v>
      </c>
      <c r="AK486" s="1084">
        <v>53892</v>
      </c>
      <c r="AL486" s="1109">
        <f t="shared" si="201"/>
        <v>0</v>
      </c>
      <c r="AM486" s="1074">
        <f t="shared" si="202"/>
        <v>0</v>
      </c>
      <c r="AN486" s="1085">
        <f t="shared" si="203"/>
        <v>0</v>
      </c>
      <c r="AO486" s="1074">
        <f t="shared" si="204"/>
        <v>0</v>
      </c>
      <c r="AP486" s="1080"/>
    </row>
    <row r="487" spans="2:42" outlineLevel="1" x14ac:dyDescent="0.2">
      <c r="B487" s="1079"/>
      <c r="C487" s="1079"/>
      <c r="D487" s="1081"/>
      <c r="E487" s="1081"/>
      <c r="F487" s="1089" t="s">
        <v>3135</v>
      </c>
      <c r="O487" s="1077">
        <f>SUBTOTAL(9,O400:O486)</f>
        <v>24.371444444444446</v>
      </c>
      <c r="Q487" s="1086">
        <f>SUBTOTAL(9,Q400:Q486)</f>
        <v>312951.49999999988</v>
      </c>
      <c r="R487" s="1085"/>
      <c r="S487" s="1085"/>
      <c r="T487" s="1085"/>
      <c r="U487" s="1085"/>
      <c r="V487" s="1085"/>
      <c r="W487" s="1085"/>
      <c r="X487" s="1085"/>
      <c r="Y487" s="1085"/>
      <c r="Z487" s="1085"/>
      <c r="AA487" s="1085"/>
      <c r="AB487" s="1085"/>
      <c r="AC487" s="1085"/>
      <c r="AD487" s="1085"/>
      <c r="AE487" s="1085"/>
      <c r="AF487" s="1085"/>
      <c r="AG487" s="1097">
        <f t="shared" ref="AG487:AM487" si="205">SUBTOTAL(9,AG400:AG486)</f>
        <v>2211045.7299999995</v>
      </c>
      <c r="AH487" s="1086">
        <f t="shared" si="205"/>
        <v>938854.50000000023</v>
      </c>
      <c r="AI487" s="1085">
        <f t="shared" si="205"/>
        <v>3149900.2299999991</v>
      </c>
      <c r="AJ487" s="1087">
        <f t="shared" si="205"/>
        <v>31.243000000000013</v>
      </c>
      <c r="AK487" s="1084">
        <f t="shared" si="205"/>
        <v>4831933</v>
      </c>
      <c r="AL487" s="1109">
        <f t="shared" si="205"/>
        <v>27.813888888888897</v>
      </c>
      <c r="AM487" s="1074">
        <f t="shared" si="205"/>
        <v>3511129.9926</v>
      </c>
      <c r="AP487" s="1080">
        <f>SUBTOTAL(9,AP400:AP486)</f>
        <v>0</v>
      </c>
    </row>
    <row r="488" spans="2:42" outlineLevel="2" x14ac:dyDescent="0.2">
      <c r="F488" s="1075" t="s">
        <v>143</v>
      </c>
      <c r="P488" s="1080"/>
      <c r="Q488" s="1080"/>
      <c r="R488" s="1080"/>
      <c r="S488" s="1080"/>
      <c r="T488" s="1080"/>
      <c r="U488" s="1080"/>
      <c r="V488" s="1080"/>
      <c r="W488" s="1080"/>
      <c r="X488" s="1080"/>
      <c r="Y488" s="1080"/>
      <c r="Z488" s="1080"/>
      <c r="AA488" s="1080"/>
      <c r="AB488" s="1080"/>
      <c r="AC488" s="1080"/>
      <c r="AD488" s="1080"/>
      <c r="AE488" s="1080"/>
      <c r="AF488" s="1080"/>
      <c r="AG488" s="1102"/>
      <c r="AH488" s="1080"/>
      <c r="AI488" s="1080"/>
      <c r="AK488" s="1080"/>
      <c r="AL488" s="1074"/>
      <c r="AM488" s="1074"/>
    </row>
    <row r="489" spans="2:42" outlineLevel="1" x14ac:dyDescent="0.2">
      <c r="F489" s="1088" t="s">
        <v>3210</v>
      </c>
      <c r="O489" s="1077">
        <f>SUBTOTAL(9,O488:O488)</f>
        <v>0</v>
      </c>
      <c r="P489" s="1080"/>
      <c r="Q489" s="1080">
        <f>SUBTOTAL(9,Q488:Q488)</f>
        <v>0</v>
      </c>
      <c r="R489" s="1080"/>
      <c r="S489" s="1080"/>
      <c r="T489" s="1080"/>
      <c r="U489" s="1080"/>
      <c r="V489" s="1080"/>
      <c r="W489" s="1080"/>
      <c r="X489" s="1080"/>
      <c r="Y489" s="1080"/>
      <c r="Z489" s="1080"/>
      <c r="AA489" s="1080"/>
      <c r="AB489" s="1080"/>
      <c r="AC489" s="1080"/>
      <c r="AD489" s="1080"/>
      <c r="AE489" s="1080"/>
      <c r="AF489" s="1080"/>
      <c r="AG489" s="1102">
        <f t="shared" ref="AG489:AM489" si="206">SUBTOTAL(9,AG488:AG488)</f>
        <v>0</v>
      </c>
      <c r="AH489" s="1080">
        <f t="shared" si="206"/>
        <v>0</v>
      </c>
      <c r="AI489" s="1080">
        <f t="shared" si="206"/>
        <v>0</v>
      </c>
      <c r="AJ489" s="1077">
        <f t="shared" si="206"/>
        <v>0</v>
      </c>
      <c r="AK489" s="1080">
        <f t="shared" si="206"/>
        <v>0</v>
      </c>
      <c r="AL489" s="1074">
        <f t="shared" si="206"/>
        <v>0</v>
      </c>
      <c r="AM489" s="1074">
        <f t="shared" si="206"/>
        <v>0</v>
      </c>
      <c r="AP489" s="1075">
        <f>SUBTOTAL(9,AP488:AP488)</f>
        <v>0</v>
      </c>
    </row>
    <row r="490" spans="2:42" outlineLevel="1" x14ac:dyDescent="0.2"/>
    <row r="491" spans="2:42" outlineLevel="1" x14ac:dyDescent="0.2">
      <c r="F491" s="1088"/>
    </row>
    <row r="492" spans="2:42" outlineLevel="1" x14ac:dyDescent="0.2">
      <c r="F492" s="1088" t="s">
        <v>2025</v>
      </c>
      <c r="O492" s="1077">
        <f>SUBTOTAL(9,O2:O491)</f>
        <v>146.61366666666655</v>
      </c>
      <c r="Q492" s="1075">
        <f>SUBTOTAL(9,Q2:Q491)</f>
        <v>1757327.3200000003</v>
      </c>
      <c r="AG492" s="1103">
        <f t="shared" ref="AG492:AL492" si="207">SUBTOTAL(9,AG2:AG491)</f>
        <v>17944201.929999989</v>
      </c>
      <c r="AH492" s="1075">
        <f t="shared" si="207"/>
        <v>5271981.959999999</v>
      </c>
      <c r="AI492" s="1075">
        <f t="shared" si="207"/>
        <v>23216183.889999975</v>
      </c>
      <c r="AJ492" s="1077">
        <f t="shared" si="207"/>
        <v>200.11299999999972</v>
      </c>
      <c r="AK492" s="1075">
        <f t="shared" si="207"/>
        <v>25242764.416666664</v>
      </c>
      <c r="AL492" s="1110">
        <f t="shared" si="207"/>
        <v>154.02888888888873</v>
      </c>
      <c r="AM492" s="1075">
        <f>SUBTOTAL(9,AM2:AM491)</f>
        <v>23115915.674647629</v>
      </c>
      <c r="AP492" s="1075">
        <f>SUBTOTAL(9,AP2:AP491)</f>
        <v>965</v>
      </c>
    </row>
  </sheetData>
  <sortState ref="A2:AO406">
    <sortCondition ref="F1"/>
  </sortState>
  <pageMargins left="0.7" right="0.7" top="0.75" bottom="0.75" header="0.3" footer="0.3"/>
  <pageSetup paperSize="9" scale="50" orientation="landscape" r:id="rId1"/>
  <ignoredErrors>
    <ignoredError sqref="AM367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rightToLeft="1" workbookViewId="0">
      <selection activeCell="T34" sqref="T34"/>
    </sheetView>
  </sheetViews>
  <sheetFormatPr defaultRowHeight="12.75" x14ac:dyDescent="0.2"/>
  <cols>
    <col min="2" max="2" width="14.85546875" bestFit="1" customWidth="1"/>
    <col min="4" max="4" width="0" hidden="1" customWidth="1"/>
  </cols>
  <sheetData>
    <row r="2" spans="2:4" x14ac:dyDescent="0.2">
      <c r="B2" s="196" t="s">
        <v>3232</v>
      </c>
      <c r="C2" s="196" t="s">
        <v>3152</v>
      </c>
      <c r="D2" s="196" t="s">
        <v>3152</v>
      </c>
    </row>
    <row r="3" spans="2:4" x14ac:dyDescent="0.2">
      <c r="B3" s="196" t="s">
        <v>3233</v>
      </c>
      <c r="C3">
        <v>51</v>
      </c>
      <c r="D3">
        <v>90</v>
      </c>
    </row>
    <row r="4" spans="2:4" x14ac:dyDescent="0.2">
      <c r="B4" s="196" t="s">
        <v>3234</v>
      </c>
      <c r="C4">
        <v>20</v>
      </c>
      <c r="D4">
        <v>40</v>
      </c>
    </row>
    <row r="5" spans="2:4" x14ac:dyDescent="0.2">
      <c r="B5" s="196" t="s">
        <v>3235</v>
      </c>
      <c r="C5">
        <v>30</v>
      </c>
      <c r="D5">
        <v>50</v>
      </c>
    </row>
    <row r="6" spans="2:4" x14ac:dyDescent="0.2">
      <c r="B6" s="196" t="s">
        <v>3236</v>
      </c>
      <c r="C6">
        <v>70</v>
      </c>
      <c r="D6">
        <v>125</v>
      </c>
    </row>
    <row r="7" spans="2:4" x14ac:dyDescent="0.2">
      <c r="B7" s="196" t="s">
        <v>3237</v>
      </c>
      <c r="C7">
        <v>70</v>
      </c>
      <c r="D7">
        <v>118</v>
      </c>
    </row>
    <row r="8" spans="2:4" x14ac:dyDescent="0.2">
      <c r="B8" s="196" t="s">
        <v>3238</v>
      </c>
      <c r="C8">
        <v>20</v>
      </c>
      <c r="D8">
        <v>20</v>
      </c>
    </row>
    <row r="9" spans="2:4" x14ac:dyDescent="0.2">
      <c r="B9" s="196" t="s">
        <v>3239</v>
      </c>
      <c r="C9">
        <v>20</v>
      </c>
      <c r="D9">
        <v>20</v>
      </c>
    </row>
    <row r="10" spans="2:4" x14ac:dyDescent="0.2">
      <c r="B10" s="196" t="s">
        <v>3240</v>
      </c>
      <c r="C10">
        <v>40</v>
      </c>
      <c r="D10">
        <v>88</v>
      </c>
    </row>
    <row r="11" spans="2:4" x14ac:dyDescent="0.2">
      <c r="B11" s="196" t="s">
        <v>3241</v>
      </c>
      <c r="C11">
        <v>24</v>
      </c>
      <c r="D11">
        <v>24</v>
      </c>
    </row>
    <row r="12" spans="2:4" x14ac:dyDescent="0.2">
      <c r="B12" s="196" t="s">
        <v>3242</v>
      </c>
      <c r="C12">
        <v>25</v>
      </c>
      <c r="D12">
        <v>60</v>
      </c>
    </row>
    <row r="13" spans="2:4" x14ac:dyDescent="0.2">
      <c r="B13" s="196" t="s">
        <v>3243</v>
      </c>
      <c r="C13">
        <v>30</v>
      </c>
      <c r="D13">
        <v>50</v>
      </c>
    </row>
    <row r="14" spans="2:4" x14ac:dyDescent="0.2">
      <c r="B14" s="196" t="s">
        <v>3244</v>
      </c>
      <c r="C14">
        <v>15</v>
      </c>
      <c r="D14">
        <v>20</v>
      </c>
    </row>
    <row r="15" spans="2:4" x14ac:dyDescent="0.2">
      <c r="B15" s="196" t="s">
        <v>3245</v>
      </c>
      <c r="C15">
        <v>15</v>
      </c>
      <c r="D15">
        <v>20</v>
      </c>
    </row>
    <row r="16" spans="2:4" x14ac:dyDescent="0.2">
      <c r="B16" s="196" t="s">
        <v>3246</v>
      </c>
      <c r="C16">
        <v>5</v>
      </c>
      <c r="D16">
        <v>5</v>
      </c>
    </row>
    <row r="17" spans="2:4" x14ac:dyDescent="0.2">
      <c r="B17" s="196" t="s">
        <v>3247</v>
      </c>
      <c r="C17">
        <v>20</v>
      </c>
      <c r="D17">
        <v>40</v>
      </c>
    </row>
    <row r="18" spans="2:4" x14ac:dyDescent="0.2">
      <c r="B18" s="196" t="s">
        <v>3248</v>
      </c>
      <c r="C18">
        <v>15</v>
      </c>
      <c r="D18">
        <v>30</v>
      </c>
    </row>
    <row r="19" spans="2:4" x14ac:dyDescent="0.2">
      <c r="B19" s="196" t="s">
        <v>3249</v>
      </c>
      <c r="C19">
        <v>15</v>
      </c>
      <c r="D19">
        <v>25</v>
      </c>
    </row>
    <row r="20" spans="2:4" x14ac:dyDescent="0.2">
      <c r="B20" s="196" t="s">
        <v>3252</v>
      </c>
      <c r="C20">
        <v>15</v>
      </c>
      <c r="D20">
        <v>30</v>
      </c>
    </row>
    <row r="21" spans="2:4" x14ac:dyDescent="0.2">
      <c r="C21">
        <f>SUM(C3:C20)</f>
        <v>500</v>
      </c>
      <c r="D21">
        <f>SUM(D3:D20)</f>
        <v>855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70"/>
  <sheetViews>
    <sheetView showGridLines="0" rightToLeft="1" view="pageBreakPreview" zoomScale="85" zoomScaleNormal="85" zoomScaleSheetLayoutView="85" workbookViewId="0">
      <selection activeCell="K61" sqref="K61:K77"/>
    </sheetView>
  </sheetViews>
  <sheetFormatPr defaultColWidth="9.140625" defaultRowHeight="15" x14ac:dyDescent="0.2"/>
  <cols>
    <col min="1" max="1" width="11.7109375" style="431" customWidth="1"/>
    <col min="2" max="2" width="9.7109375" style="431" customWidth="1"/>
    <col min="3" max="3" width="14.42578125" style="431" customWidth="1"/>
    <col min="4" max="4" width="10.140625" style="431" customWidth="1"/>
    <col min="5" max="5" width="9" style="431" customWidth="1"/>
    <col min="6" max="6" width="23.85546875" style="431" bestFit="1" customWidth="1"/>
    <col min="7" max="7" width="20.42578125" style="431" customWidth="1"/>
    <col min="8" max="8" width="6.5703125" style="431" customWidth="1"/>
    <col min="9" max="9" width="14.140625" style="434" customWidth="1"/>
    <col min="10" max="10" width="7.7109375" style="434" customWidth="1"/>
    <col min="11" max="21" width="13.42578125" style="434" customWidth="1"/>
    <col min="22" max="22" width="14.28515625" style="434" hidden="1" customWidth="1"/>
    <col min="23" max="23" width="14.42578125" style="431" hidden="1" customWidth="1"/>
    <col min="24" max="24" width="36.5703125" style="431" bestFit="1" customWidth="1"/>
    <col min="25" max="25" width="9.140625" style="431" customWidth="1"/>
    <col min="26" max="26" width="9.140625" style="431" hidden="1" customWidth="1"/>
    <col min="27" max="28" width="0" style="431" hidden="1" customWidth="1"/>
    <col min="29" max="16384" width="9.140625" style="431"/>
  </cols>
  <sheetData>
    <row r="1" spans="1:28" x14ac:dyDescent="0.2">
      <c r="A1" s="1465" t="s">
        <v>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7"/>
      <c r="X1" s="471"/>
      <c r="Y1" s="471"/>
    </row>
    <row r="2" spans="1:28" x14ac:dyDescent="0.2">
      <c r="A2" s="1465" t="s">
        <v>1839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  <c r="T2" s="1466"/>
      <c r="U2" s="1466"/>
      <c r="V2" s="1466"/>
      <c r="W2" s="1467"/>
      <c r="X2" s="471"/>
      <c r="Y2" s="471"/>
    </row>
    <row r="3" spans="1:28" s="729" customFormat="1" ht="29.25" customHeight="1" x14ac:dyDescent="0.2">
      <c r="A3" s="984" t="s">
        <v>1324</v>
      </c>
      <c r="B3" s="984" t="s">
        <v>916</v>
      </c>
      <c r="C3" s="984" t="s">
        <v>917</v>
      </c>
      <c r="D3" s="984" t="s">
        <v>918</v>
      </c>
      <c r="E3" s="984" t="s">
        <v>919</v>
      </c>
      <c r="F3" s="984" t="s">
        <v>920</v>
      </c>
      <c r="G3" s="984" t="s">
        <v>921</v>
      </c>
      <c r="H3" s="984" t="s">
        <v>922</v>
      </c>
      <c r="I3" s="985" t="s">
        <v>111</v>
      </c>
      <c r="J3" s="985" t="s">
        <v>1325</v>
      </c>
      <c r="K3" s="985" t="s">
        <v>112</v>
      </c>
      <c r="L3" s="895" t="s">
        <v>2062</v>
      </c>
      <c r="M3" s="895" t="s">
        <v>2059</v>
      </c>
      <c r="N3" s="895" t="s">
        <v>2064</v>
      </c>
      <c r="O3" s="895" t="s">
        <v>2063</v>
      </c>
      <c r="P3" s="895" t="s">
        <v>2065</v>
      </c>
      <c r="Q3" s="895" t="s">
        <v>2066</v>
      </c>
      <c r="R3" s="895" t="s">
        <v>2067</v>
      </c>
      <c r="S3" s="895" t="s">
        <v>113</v>
      </c>
      <c r="T3" s="895" t="s">
        <v>2068</v>
      </c>
      <c r="U3" s="895" t="s">
        <v>2052</v>
      </c>
      <c r="V3" s="985" t="s">
        <v>2074</v>
      </c>
      <c r="W3" s="986" t="s">
        <v>2075</v>
      </c>
      <c r="X3" s="746"/>
      <c r="Y3" s="746"/>
      <c r="Z3" s="898" t="s">
        <v>1788</v>
      </c>
      <c r="AA3" s="898" t="s">
        <v>1789</v>
      </c>
      <c r="AB3" s="898" t="s">
        <v>1784</v>
      </c>
    </row>
    <row r="4" spans="1:28" ht="14.25" hidden="1" customHeight="1" x14ac:dyDescent="0.2">
      <c r="A4" s="978">
        <v>1</v>
      </c>
      <c r="B4" s="979" t="s">
        <v>924</v>
      </c>
      <c r="C4" s="979" t="s">
        <v>925</v>
      </c>
      <c r="D4" s="1073">
        <v>5223585</v>
      </c>
      <c r="E4" s="980">
        <v>611100</v>
      </c>
      <c r="F4" s="979" t="s">
        <v>926</v>
      </c>
      <c r="G4" s="979" t="s">
        <v>927</v>
      </c>
      <c r="H4" s="981">
        <v>1</v>
      </c>
      <c r="I4" s="982">
        <v>758448</v>
      </c>
      <c r="J4" s="981">
        <v>1</v>
      </c>
      <c r="K4" s="982">
        <v>770000</v>
      </c>
      <c r="L4" s="982"/>
      <c r="M4" s="982"/>
      <c r="N4" s="982"/>
      <c r="O4" s="982"/>
      <c r="P4" s="982"/>
      <c r="Q4" s="982"/>
      <c r="R4" s="982"/>
      <c r="S4" s="982"/>
      <c r="T4" s="982"/>
      <c r="U4" s="982"/>
      <c r="V4" s="981">
        <v>1</v>
      </c>
      <c r="W4" s="983">
        <v>770000</v>
      </c>
      <c r="X4" s="471"/>
      <c r="Y4" s="471"/>
      <c r="Z4" s="899">
        <v>695873</v>
      </c>
      <c r="AA4" s="899"/>
      <c r="AB4" s="899"/>
    </row>
    <row r="5" spans="1:28" s="432" customFormat="1" ht="18.75" hidden="1" customHeight="1" x14ac:dyDescent="0.2">
      <c r="A5" s="1021" t="s">
        <v>1326</v>
      </c>
      <c r="B5" s="1022"/>
      <c r="C5" s="1023"/>
      <c r="D5" s="1070"/>
      <c r="E5" s="1024"/>
      <c r="F5" s="1024"/>
      <c r="G5" s="1023"/>
      <c r="H5" s="1025">
        <f>SUM(H4)</f>
        <v>1</v>
      </c>
      <c r="I5" s="1025">
        <f>SUM(I4:I4)</f>
        <v>758448</v>
      </c>
      <c r="J5" s="1025">
        <f>SUM(J4)</f>
        <v>1</v>
      </c>
      <c r="K5" s="1025">
        <f t="shared" ref="K5:W5" si="0">SUM(K4:K4)</f>
        <v>770000</v>
      </c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>
        <f>SUM(V4)</f>
        <v>1</v>
      </c>
      <c r="W5" s="1025">
        <f t="shared" si="0"/>
        <v>770000</v>
      </c>
      <c r="X5" s="747"/>
      <c r="Y5" s="747"/>
      <c r="Z5" s="900"/>
      <c r="AA5" s="899"/>
      <c r="AB5" s="899"/>
    </row>
    <row r="6" spans="1:28" ht="14.25" hidden="1" customHeight="1" x14ac:dyDescent="0.2">
      <c r="A6" s="978">
        <v>1</v>
      </c>
      <c r="B6" s="979" t="s">
        <v>928</v>
      </c>
      <c r="C6" s="979" t="s">
        <v>929</v>
      </c>
      <c r="D6" s="1071">
        <v>2332857</v>
      </c>
      <c r="E6" s="980">
        <v>611200</v>
      </c>
      <c r="F6" s="979" t="s">
        <v>930</v>
      </c>
      <c r="G6" s="979" t="s">
        <v>931</v>
      </c>
      <c r="H6" s="981">
        <v>1</v>
      </c>
      <c r="I6" s="982">
        <v>142803</v>
      </c>
      <c r="J6" s="981">
        <v>1</v>
      </c>
      <c r="K6" s="982">
        <v>147000</v>
      </c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1">
        <v>1</v>
      </c>
      <c r="W6" s="983">
        <v>147000</v>
      </c>
      <c r="X6" s="471"/>
      <c r="Y6" s="471"/>
      <c r="Z6" s="899">
        <v>131284</v>
      </c>
      <c r="AA6" s="899"/>
      <c r="AB6" s="899"/>
    </row>
    <row r="7" spans="1:28" s="432" customFormat="1" ht="19.5" hidden="1" customHeight="1" x14ac:dyDescent="0.2">
      <c r="A7" s="1021" t="s">
        <v>1327</v>
      </c>
      <c r="B7" s="1022"/>
      <c r="C7" s="1023"/>
      <c r="D7" s="1070"/>
      <c r="E7" s="1024"/>
      <c r="F7" s="1024"/>
      <c r="G7" s="1023"/>
      <c r="H7" s="1025"/>
      <c r="I7" s="1025">
        <f>SUM(I6)</f>
        <v>142803</v>
      </c>
      <c r="J7" s="1025">
        <f t="shared" ref="J7:W7" si="1">SUM(J6)</f>
        <v>1</v>
      </c>
      <c r="K7" s="1025">
        <f t="shared" si="1"/>
        <v>147000</v>
      </c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>
        <f t="shared" si="1"/>
        <v>147000</v>
      </c>
      <c r="X7" s="747"/>
      <c r="Y7" s="747"/>
      <c r="Z7" s="900"/>
      <c r="AA7" s="899"/>
      <c r="AB7" s="899"/>
    </row>
    <row r="8" spans="1:28" ht="14.25" hidden="1" customHeight="1" x14ac:dyDescent="0.2">
      <c r="A8" s="978">
        <v>1</v>
      </c>
      <c r="B8" s="979" t="s">
        <v>932</v>
      </c>
      <c r="C8" s="979" t="s">
        <v>933</v>
      </c>
      <c r="D8" s="1071">
        <v>2478159</v>
      </c>
      <c r="E8" s="980">
        <v>612000</v>
      </c>
      <c r="F8" s="979" t="s">
        <v>934</v>
      </c>
      <c r="G8" s="979" t="s">
        <v>935</v>
      </c>
      <c r="H8" s="981">
        <v>0.5</v>
      </c>
      <c r="I8" s="988">
        <v>193316</v>
      </c>
      <c r="J8" s="981">
        <v>1</v>
      </c>
      <c r="K8" s="988">
        <f>400000/12*5+210000/12*7</f>
        <v>289166.66666666669</v>
      </c>
      <c r="L8" s="988"/>
      <c r="M8" s="988"/>
      <c r="N8" s="988"/>
      <c r="O8" s="988"/>
      <c r="P8" s="988"/>
      <c r="Q8" s="988"/>
      <c r="R8" s="988"/>
      <c r="S8" s="988"/>
      <c r="T8" s="988"/>
      <c r="U8" s="988"/>
      <c r="V8" s="981">
        <v>1</v>
      </c>
      <c r="W8" s="983">
        <v>420000</v>
      </c>
      <c r="X8" s="471"/>
      <c r="Y8" s="471"/>
      <c r="Z8" s="899">
        <v>188145</v>
      </c>
      <c r="AA8" s="899"/>
      <c r="AB8" s="899"/>
    </row>
    <row r="9" spans="1:28" s="432" customFormat="1" ht="19.5" hidden="1" customHeight="1" x14ac:dyDescent="0.2">
      <c r="A9" s="1021" t="s">
        <v>1328</v>
      </c>
      <c r="B9" s="1022"/>
      <c r="C9" s="1023"/>
      <c r="D9" s="1070"/>
      <c r="E9" s="1024"/>
      <c r="F9" s="1024"/>
      <c r="G9" s="1023"/>
      <c r="H9" s="1025"/>
      <c r="I9" s="1025">
        <f>SUM(I8)</f>
        <v>193316</v>
      </c>
      <c r="J9" s="1025">
        <f t="shared" ref="J9:W9" si="2">SUM(J8)</f>
        <v>1</v>
      </c>
      <c r="K9" s="1025">
        <f t="shared" si="2"/>
        <v>289166.66666666669</v>
      </c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5">
        <f t="shared" si="2"/>
        <v>420000</v>
      </c>
      <c r="X9" s="747"/>
      <c r="Y9" s="747"/>
      <c r="Z9" s="900"/>
      <c r="AA9" s="899"/>
      <c r="AB9" s="899"/>
    </row>
    <row r="10" spans="1:28" ht="14.25" hidden="1" customHeight="1" x14ac:dyDescent="0.2">
      <c r="A10" s="978">
        <v>1</v>
      </c>
      <c r="B10" s="979" t="s">
        <v>1329</v>
      </c>
      <c r="C10" s="979" t="s">
        <v>956</v>
      </c>
      <c r="D10" s="1071">
        <v>5994911</v>
      </c>
      <c r="E10" s="980">
        <v>613000</v>
      </c>
      <c r="F10" s="979" t="s">
        <v>1330</v>
      </c>
      <c r="G10" s="979" t="s">
        <v>1813</v>
      </c>
      <c r="H10" s="981">
        <v>1</v>
      </c>
      <c r="I10" s="988">
        <v>367169</v>
      </c>
      <c r="J10" s="981">
        <v>1</v>
      </c>
      <c r="K10" s="988">
        <f>370000/12*8+40000*4</f>
        <v>406666.66666666663</v>
      </c>
      <c r="L10" s="988"/>
      <c r="M10" s="988"/>
      <c r="N10" s="988"/>
      <c r="O10" s="988"/>
      <c r="P10" s="988"/>
      <c r="Q10" s="988"/>
      <c r="R10" s="988"/>
      <c r="S10" s="988"/>
      <c r="T10" s="988"/>
      <c r="U10" s="988"/>
      <c r="V10" s="981">
        <v>1</v>
      </c>
      <c r="W10" s="983">
        <v>480000</v>
      </c>
      <c r="X10" s="471"/>
      <c r="Y10" s="471"/>
      <c r="Z10" s="899">
        <v>338362</v>
      </c>
      <c r="AA10" s="899"/>
      <c r="AB10" s="899"/>
    </row>
    <row r="11" spans="1:28" ht="14.25" hidden="1" customHeight="1" x14ac:dyDescent="0.2">
      <c r="A11" s="978">
        <v>1</v>
      </c>
      <c r="B11" s="979" t="s">
        <v>1331</v>
      </c>
      <c r="C11" s="979" t="s">
        <v>1332</v>
      </c>
      <c r="D11" s="1071">
        <v>2910356</v>
      </c>
      <c r="E11" s="980">
        <v>613000</v>
      </c>
      <c r="F11" s="979" t="s">
        <v>1333</v>
      </c>
      <c r="G11" s="979" t="s">
        <v>931</v>
      </c>
      <c r="H11" s="981">
        <v>1</v>
      </c>
      <c r="I11" s="988">
        <v>92019</v>
      </c>
      <c r="J11" s="981">
        <v>1</v>
      </c>
      <c r="K11" s="988">
        <v>93000</v>
      </c>
      <c r="L11" s="988"/>
      <c r="M11" s="988"/>
      <c r="N11" s="988"/>
      <c r="O11" s="988"/>
      <c r="P11" s="988"/>
      <c r="Q11" s="988"/>
      <c r="R11" s="988"/>
      <c r="S11" s="988"/>
      <c r="T11" s="988"/>
      <c r="U11" s="988"/>
      <c r="V11" s="981">
        <v>1</v>
      </c>
      <c r="W11" s="983">
        <v>93000</v>
      </c>
      <c r="X11" s="471"/>
      <c r="Y11" s="471"/>
      <c r="Z11" s="899">
        <v>84743</v>
      </c>
      <c r="AA11" s="899"/>
      <c r="AB11" s="899"/>
    </row>
    <row r="12" spans="1:28" s="432" customFormat="1" ht="21" hidden="1" customHeight="1" x14ac:dyDescent="0.2">
      <c r="A12" s="1021" t="s">
        <v>1334</v>
      </c>
      <c r="B12" s="1022"/>
      <c r="C12" s="1023"/>
      <c r="D12" s="1070"/>
      <c r="E12" s="1024"/>
      <c r="F12" s="1024"/>
      <c r="G12" s="1023"/>
      <c r="H12" s="1025"/>
      <c r="I12" s="1025">
        <f>SUM(I10:I11)</f>
        <v>459188</v>
      </c>
      <c r="J12" s="1025">
        <f t="shared" ref="J12:W12" si="3">SUM(J10:J11)</f>
        <v>2</v>
      </c>
      <c r="K12" s="1025">
        <f t="shared" si="3"/>
        <v>499666.66666666663</v>
      </c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1025"/>
      <c r="W12" s="1025">
        <f t="shared" si="3"/>
        <v>573000</v>
      </c>
      <c r="X12" s="747"/>
      <c r="Y12" s="747"/>
      <c r="Z12" s="900"/>
      <c r="AA12" s="899"/>
      <c r="AB12" s="899"/>
    </row>
    <row r="13" spans="1:28" ht="14.25" hidden="1" customHeight="1" x14ac:dyDescent="0.2">
      <c r="A13" s="978">
        <v>1</v>
      </c>
      <c r="B13" s="979" t="s">
        <v>1052</v>
      </c>
      <c r="C13" s="979" t="s">
        <v>1335</v>
      </c>
      <c r="D13" s="1071">
        <v>2751043</v>
      </c>
      <c r="E13" s="980">
        <v>615000</v>
      </c>
      <c r="F13" s="979" t="s">
        <v>941</v>
      </c>
      <c r="G13" s="979" t="s">
        <v>1336</v>
      </c>
      <c r="H13" s="981">
        <v>0.7</v>
      </c>
      <c r="I13" s="982">
        <v>74577</v>
      </c>
      <c r="J13" s="981">
        <v>0.7</v>
      </c>
      <c r="K13" s="982">
        <v>75000</v>
      </c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1">
        <v>0.7</v>
      </c>
      <c r="W13" s="983">
        <v>75000</v>
      </c>
      <c r="X13" s="471"/>
      <c r="Y13" s="471"/>
      <c r="Z13" s="899">
        <v>68586</v>
      </c>
      <c r="AA13" s="899"/>
      <c r="AB13" s="899"/>
    </row>
    <row r="14" spans="1:28" ht="14.25" hidden="1" customHeight="1" x14ac:dyDescent="0.2">
      <c r="A14" s="978">
        <v>1</v>
      </c>
      <c r="B14" s="979" t="s">
        <v>1018</v>
      </c>
      <c r="C14" s="979" t="s">
        <v>1048</v>
      </c>
      <c r="D14" s="1071">
        <v>2815172</v>
      </c>
      <c r="E14" s="980">
        <v>615000</v>
      </c>
      <c r="F14" s="979" t="s">
        <v>941</v>
      </c>
      <c r="G14" s="979" t="s">
        <v>1336</v>
      </c>
      <c r="H14" s="981">
        <v>0.5</v>
      </c>
      <c r="I14" s="982">
        <v>43097</v>
      </c>
      <c r="J14" s="981">
        <v>0.5</v>
      </c>
      <c r="K14" s="982">
        <v>44000</v>
      </c>
      <c r="L14" s="982"/>
      <c r="M14" s="982"/>
      <c r="N14" s="982"/>
      <c r="O14" s="982"/>
      <c r="P14" s="982"/>
      <c r="Q14" s="982"/>
      <c r="R14" s="982"/>
      <c r="S14" s="982"/>
      <c r="T14" s="982"/>
      <c r="U14" s="982"/>
      <c r="V14" s="981">
        <v>0.5</v>
      </c>
      <c r="W14" s="983">
        <v>44000</v>
      </c>
      <c r="X14" s="740"/>
      <c r="Y14" s="471"/>
      <c r="Z14" s="899">
        <v>39798</v>
      </c>
      <c r="AA14" s="899"/>
      <c r="AB14" s="899"/>
    </row>
    <row r="15" spans="1:28" ht="14.25" hidden="1" customHeight="1" x14ac:dyDescent="0.2">
      <c r="A15" s="978">
        <v>1</v>
      </c>
      <c r="B15" s="979" t="s">
        <v>1821</v>
      </c>
      <c r="C15" s="979" t="s">
        <v>959</v>
      </c>
      <c r="D15" s="1072">
        <v>99999999</v>
      </c>
      <c r="E15" s="980">
        <v>615000</v>
      </c>
      <c r="F15" s="979" t="s">
        <v>960</v>
      </c>
      <c r="G15" s="979" t="s">
        <v>961</v>
      </c>
      <c r="H15" s="981">
        <v>0.75</v>
      </c>
      <c r="I15" s="982">
        <v>23683</v>
      </c>
      <c r="J15" s="981">
        <v>0</v>
      </c>
      <c r="K15" s="982">
        <v>0</v>
      </c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1">
        <v>0</v>
      </c>
      <c r="W15" s="983">
        <v>0</v>
      </c>
      <c r="X15" s="740"/>
      <c r="Y15" s="471"/>
      <c r="Z15" s="899"/>
      <c r="AA15" s="899"/>
      <c r="AB15" s="899"/>
    </row>
    <row r="16" spans="1:28" ht="14.25" hidden="1" customHeight="1" x14ac:dyDescent="0.2">
      <c r="A16" s="978">
        <v>1</v>
      </c>
      <c r="B16" s="979" t="s">
        <v>928</v>
      </c>
      <c r="C16" s="979" t="s">
        <v>929</v>
      </c>
      <c r="D16" s="1071">
        <v>5581635</v>
      </c>
      <c r="E16" s="980">
        <v>615000</v>
      </c>
      <c r="F16" s="979" t="s">
        <v>941</v>
      </c>
      <c r="G16" s="979" t="s">
        <v>954</v>
      </c>
      <c r="H16" s="981">
        <v>0.6</v>
      </c>
      <c r="I16" s="982">
        <v>62625</v>
      </c>
      <c r="J16" s="981">
        <v>0.6</v>
      </c>
      <c r="K16" s="982">
        <v>63000</v>
      </c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1">
        <v>0.6</v>
      </c>
      <c r="W16" s="983">
        <v>63000</v>
      </c>
      <c r="X16" s="471"/>
      <c r="Y16" s="471"/>
      <c r="Z16" s="899">
        <v>57514</v>
      </c>
      <c r="AA16" s="899"/>
      <c r="AB16" s="899"/>
    </row>
    <row r="17" spans="1:28" ht="14.25" hidden="1" customHeight="1" x14ac:dyDescent="0.2">
      <c r="A17" s="978">
        <v>1</v>
      </c>
      <c r="B17" s="979" t="s">
        <v>948</v>
      </c>
      <c r="C17" s="979" t="s">
        <v>949</v>
      </c>
      <c r="D17" s="1071">
        <v>5944912</v>
      </c>
      <c r="E17" s="980">
        <v>615000</v>
      </c>
      <c r="F17" s="979" t="s">
        <v>941</v>
      </c>
      <c r="G17" s="979" t="s">
        <v>950</v>
      </c>
      <c r="H17" s="981">
        <v>1</v>
      </c>
      <c r="I17" s="982">
        <v>153848</v>
      </c>
      <c r="J17" s="981">
        <v>1</v>
      </c>
      <c r="K17" s="982">
        <v>165000</v>
      </c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1">
        <v>1</v>
      </c>
      <c r="W17" s="983">
        <v>165000</v>
      </c>
      <c r="X17" s="471"/>
      <c r="Y17" s="471"/>
      <c r="Z17" s="899">
        <v>141471</v>
      </c>
      <c r="AA17" s="899"/>
      <c r="AB17" s="899"/>
    </row>
    <row r="18" spans="1:28" ht="14.25" hidden="1" customHeight="1" x14ac:dyDescent="0.2">
      <c r="A18" s="978">
        <v>1</v>
      </c>
      <c r="B18" s="979" t="s">
        <v>943</v>
      </c>
      <c r="C18" s="979" t="s">
        <v>944</v>
      </c>
      <c r="D18" s="1071">
        <v>5947278</v>
      </c>
      <c r="E18" s="980">
        <v>615000</v>
      </c>
      <c r="F18" s="979" t="s">
        <v>941</v>
      </c>
      <c r="G18" s="979" t="s">
        <v>945</v>
      </c>
      <c r="H18" s="981">
        <v>0.6</v>
      </c>
      <c r="I18" s="982">
        <v>75084</v>
      </c>
      <c r="J18" s="981">
        <v>0.6</v>
      </c>
      <c r="K18" s="982">
        <v>75000</v>
      </c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1">
        <v>0.6</v>
      </c>
      <c r="W18" s="983">
        <v>75000</v>
      </c>
      <c r="X18" s="471"/>
      <c r="Y18" s="471"/>
      <c r="Z18" s="899">
        <v>69399</v>
      </c>
      <c r="AA18" s="899"/>
      <c r="AB18" s="899"/>
    </row>
    <row r="19" spans="1:28" ht="14.25" hidden="1" customHeight="1" x14ac:dyDescent="0.2">
      <c r="A19" s="978">
        <v>1</v>
      </c>
      <c r="B19" s="979" t="s">
        <v>1337</v>
      </c>
      <c r="C19" s="979" t="s">
        <v>965</v>
      </c>
      <c r="D19" s="1071">
        <v>5445944</v>
      </c>
      <c r="E19" s="980">
        <v>615000</v>
      </c>
      <c r="F19" s="979" t="s">
        <v>941</v>
      </c>
      <c r="G19" s="979" t="s">
        <v>1338</v>
      </c>
      <c r="H19" s="981">
        <v>0.6</v>
      </c>
      <c r="I19" s="982">
        <v>58056</v>
      </c>
      <c r="J19" s="981">
        <v>0.6</v>
      </c>
      <c r="K19" s="982">
        <v>62000</v>
      </c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1">
        <v>0.6</v>
      </c>
      <c r="W19" s="983">
        <v>62000</v>
      </c>
      <c r="X19" s="471"/>
      <c r="Y19" s="471"/>
      <c r="Z19" s="899">
        <v>53416</v>
      </c>
      <c r="AA19" s="899"/>
      <c r="AB19" s="899"/>
    </row>
    <row r="20" spans="1:28" ht="14.25" hidden="1" customHeight="1" x14ac:dyDescent="0.2">
      <c r="A20" s="978">
        <v>1</v>
      </c>
      <c r="B20" s="979" t="s">
        <v>1339</v>
      </c>
      <c r="C20" s="979" t="s">
        <v>1340</v>
      </c>
      <c r="D20" s="980">
        <v>8094430</v>
      </c>
      <c r="E20" s="980">
        <v>615000</v>
      </c>
      <c r="F20" s="979" t="s">
        <v>941</v>
      </c>
      <c r="G20" s="979" t="s">
        <v>981</v>
      </c>
      <c r="H20" s="981">
        <v>0.6</v>
      </c>
      <c r="I20" s="982">
        <v>53142</v>
      </c>
      <c r="J20" s="981">
        <v>0.6</v>
      </c>
      <c r="K20" s="982">
        <v>55000</v>
      </c>
      <c r="L20" s="982"/>
      <c r="M20" s="982"/>
      <c r="N20" s="982"/>
      <c r="O20" s="982"/>
      <c r="P20" s="982"/>
      <c r="Q20" s="982"/>
      <c r="R20" s="982"/>
      <c r="S20" s="982"/>
      <c r="T20" s="982"/>
      <c r="U20" s="982"/>
      <c r="V20" s="981">
        <v>0.6</v>
      </c>
      <c r="W20" s="983">
        <v>55000</v>
      </c>
      <c r="X20" s="471"/>
      <c r="Y20" s="471"/>
      <c r="Z20" s="899">
        <v>48928</v>
      </c>
      <c r="AA20" s="899"/>
      <c r="AB20" s="899"/>
    </row>
    <row r="21" spans="1:28" ht="21" hidden="1" customHeight="1" x14ac:dyDescent="0.2">
      <c r="A21" s="1021" t="s">
        <v>1341</v>
      </c>
      <c r="B21" s="1023"/>
      <c r="C21" s="1023"/>
      <c r="D21" s="1024"/>
      <c r="E21" s="1024"/>
      <c r="F21" s="1023"/>
      <c r="G21" s="1023"/>
      <c r="H21" s="1026"/>
      <c r="I21" s="1025">
        <f>SUM(I13:I20)</f>
        <v>544112</v>
      </c>
      <c r="J21" s="1025">
        <f t="shared" ref="J21:W21" si="4">SUM(J13:J20)</f>
        <v>4.5999999999999996</v>
      </c>
      <c r="K21" s="1025">
        <f t="shared" si="4"/>
        <v>539000</v>
      </c>
      <c r="L21" s="1025"/>
      <c r="M21" s="1025"/>
      <c r="N21" s="1025"/>
      <c r="O21" s="1025"/>
      <c r="P21" s="1025"/>
      <c r="Q21" s="1025"/>
      <c r="R21" s="1025"/>
      <c r="S21" s="1025"/>
      <c r="T21" s="1025"/>
      <c r="U21" s="1025"/>
      <c r="V21" s="1026"/>
      <c r="W21" s="1025">
        <f t="shared" si="4"/>
        <v>539000</v>
      </c>
      <c r="X21" s="471"/>
      <c r="Y21" s="471"/>
      <c r="Z21" s="899"/>
      <c r="AA21" s="899"/>
      <c r="AB21" s="899"/>
    </row>
    <row r="22" spans="1:28" ht="14.25" hidden="1" customHeight="1" x14ac:dyDescent="0.2">
      <c r="A22" s="978">
        <v>1</v>
      </c>
      <c r="B22" s="979" t="s">
        <v>990</v>
      </c>
      <c r="C22" s="979" t="s">
        <v>1079</v>
      </c>
      <c r="D22" s="980">
        <v>5250834</v>
      </c>
      <c r="E22" s="980">
        <v>615100</v>
      </c>
      <c r="F22" s="979" t="s">
        <v>941</v>
      </c>
      <c r="G22" s="979" t="s">
        <v>981</v>
      </c>
      <c r="H22" s="981">
        <v>0.6</v>
      </c>
      <c r="I22" s="982">
        <v>61113</v>
      </c>
      <c r="J22" s="981">
        <v>0.6</v>
      </c>
      <c r="K22" s="982">
        <v>62000</v>
      </c>
      <c r="L22" s="982"/>
      <c r="M22" s="982"/>
      <c r="N22" s="982"/>
      <c r="O22" s="982"/>
      <c r="P22" s="982"/>
      <c r="Q22" s="982"/>
      <c r="R22" s="982"/>
      <c r="S22" s="982"/>
      <c r="T22" s="982"/>
      <c r="U22" s="982"/>
      <c r="V22" s="981">
        <v>0.6</v>
      </c>
      <c r="W22" s="983">
        <v>62000</v>
      </c>
      <c r="X22" s="740"/>
      <c r="Y22" s="471"/>
      <c r="Z22" s="899">
        <v>56297</v>
      </c>
      <c r="AA22" s="899"/>
      <c r="AB22" s="899"/>
    </row>
    <row r="23" spans="1:28" ht="14.25" hidden="1" customHeight="1" x14ac:dyDescent="0.2">
      <c r="A23" s="978">
        <v>1</v>
      </c>
      <c r="B23" s="979" t="s">
        <v>967</v>
      </c>
      <c r="C23" s="979" t="s">
        <v>968</v>
      </c>
      <c r="D23" s="980">
        <v>5594754</v>
      </c>
      <c r="E23" s="980">
        <v>615100</v>
      </c>
      <c r="F23" s="979" t="s">
        <v>941</v>
      </c>
      <c r="G23" s="979" t="s">
        <v>981</v>
      </c>
      <c r="H23" s="981">
        <v>0.6</v>
      </c>
      <c r="I23" s="982">
        <v>90123</v>
      </c>
      <c r="J23" s="981">
        <v>0.6</v>
      </c>
      <c r="K23" s="982">
        <v>91000</v>
      </c>
      <c r="L23" s="982"/>
      <c r="M23" s="982"/>
      <c r="N23" s="982"/>
      <c r="O23" s="982"/>
      <c r="P23" s="982"/>
      <c r="Q23" s="982"/>
      <c r="R23" s="982"/>
      <c r="S23" s="982"/>
      <c r="T23" s="982"/>
      <c r="U23" s="982"/>
      <c r="V23" s="981">
        <v>0.6</v>
      </c>
      <c r="W23" s="983">
        <v>91000</v>
      </c>
      <c r="X23" s="471"/>
      <c r="Y23" s="471"/>
      <c r="Z23" s="899">
        <v>82483</v>
      </c>
      <c r="AA23" s="899"/>
      <c r="AB23" s="899"/>
    </row>
    <row r="24" spans="1:28" s="433" customFormat="1" ht="21" hidden="1" customHeight="1" x14ac:dyDescent="0.2">
      <c r="A24" s="1021" t="s">
        <v>1342</v>
      </c>
      <c r="B24" s="1021"/>
      <c r="C24" s="1027"/>
      <c r="D24" s="1027"/>
      <c r="E24" s="1028"/>
      <c r="F24" s="1028"/>
      <c r="G24" s="1027"/>
      <c r="H24" s="1027">
        <f>SUM(H6:H23)</f>
        <v>10.049999999999999</v>
      </c>
      <c r="I24" s="1025">
        <f>SUM(I22:I23)</f>
        <v>151236</v>
      </c>
      <c r="J24" s="1025">
        <f t="shared" ref="J24:W24" si="5">SUM(J22:J23)</f>
        <v>1.2</v>
      </c>
      <c r="K24" s="1025">
        <f t="shared" si="5"/>
        <v>153000</v>
      </c>
      <c r="L24" s="1025"/>
      <c r="M24" s="1025"/>
      <c r="N24" s="1025"/>
      <c r="O24" s="1025"/>
      <c r="P24" s="1025"/>
      <c r="Q24" s="1025"/>
      <c r="R24" s="1025"/>
      <c r="S24" s="1025"/>
      <c r="T24" s="1025"/>
      <c r="U24" s="1025"/>
      <c r="V24" s="1027">
        <f>SUM(V6:V23)</f>
        <v>9.7999999999999989</v>
      </c>
      <c r="W24" s="1025">
        <f t="shared" si="5"/>
        <v>153000</v>
      </c>
      <c r="X24" s="533"/>
      <c r="Y24" s="533"/>
      <c r="Z24" s="901"/>
      <c r="AA24" s="899"/>
      <c r="AB24" s="899"/>
    </row>
    <row r="25" spans="1:28" ht="14.25" hidden="1" customHeight="1" x14ac:dyDescent="0.2">
      <c r="A25" s="978">
        <v>1</v>
      </c>
      <c r="B25" s="979" t="s">
        <v>970</v>
      </c>
      <c r="C25" s="979" t="s">
        <v>971</v>
      </c>
      <c r="D25" s="980">
        <v>3408301</v>
      </c>
      <c r="E25" s="980">
        <v>621000</v>
      </c>
      <c r="F25" s="979" t="s">
        <v>972</v>
      </c>
      <c r="G25" s="979" t="s">
        <v>1814</v>
      </c>
      <c r="H25" s="981">
        <v>0.75</v>
      </c>
      <c r="I25" s="982">
        <f>318432</f>
        <v>318432</v>
      </c>
      <c r="J25" s="981">
        <v>1</v>
      </c>
      <c r="K25" s="982">
        <f>160000/6*7+34000*5</f>
        <v>356666.66666666669</v>
      </c>
      <c r="L25" s="982"/>
      <c r="M25" s="982"/>
      <c r="N25" s="982"/>
      <c r="O25" s="982"/>
      <c r="P25" s="982"/>
      <c r="Q25" s="982"/>
      <c r="R25" s="982"/>
      <c r="S25" s="982"/>
      <c r="T25" s="982"/>
      <c r="U25" s="982"/>
      <c r="V25" s="981">
        <v>1</v>
      </c>
      <c r="W25" s="983">
        <v>420000</v>
      </c>
      <c r="X25" s="471"/>
      <c r="Y25" s="471"/>
      <c r="Z25" s="899">
        <v>292968</v>
      </c>
      <c r="AA25" s="899"/>
      <c r="AB25" s="899"/>
    </row>
    <row r="26" spans="1:28" ht="14.25" hidden="1" customHeight="1" x14ac:dyDescent="0.2">
      <c r="A26" s="978">
        <v>1</v>
      </c>
      <c r="B26" s="979"/>
      <c r="C26" s="979"/>
      <c r="D26" s="980"/>
      <c r="E26" s="980"/>
      <c r="F26" s="979" t="s">
        <v>972</v>
      </c>
      <c r="G26" s="979" t="s">
        <v>2048</v>
      </c>
      <c r="H26" s="981"/>
      <c r="I26" s="982"/>
      <c r="J26" s="981">
        <v>0.5</v>
      </c>
      <c r="K26" s="982">
        <v>50000</v>
      </c>
      <c r="L26" s="982"/>
      <c r="M26" s="982"/>
      <c r="N26" s="982"/>
      <c r="O26" s="982"/>
      <c r="P26" s="982"/>
      <c r="Q26" s="982"/>
      <c r="R26" s="982"/>
      <c r="S26" s="982"/>
      <c r="T26" s="982"/>
      <c r="U26" s="982"/>
      <c r="V26" s="981"/>
      <c r="W26" s="983"/>
      <c r="X26" s="471"/>
      <c r="Y26" s="471"/>
      <c r="Z26" s="899"/>
      <c r="AA26" s="899"/>
      <c r="AB26" s="899"/>
    </row>
    <row r="27" spans="1:28" ht="20.25" hidden="1" customHeight="1" x14ac:dyDescent="0.2">
      <c r="A27" s="1021" t="s">
        <v>1343</v>
      </c>
      <c r="B27" s="1023"/>
      <c r="C27" s="1023"/>
      <c r="D27" s="1024"/>
      <c r="E27" s="1024"/>
      <c r="F27" s="1023"/>
      <c r="G27" s="1023"/>
      <c r="H27" s="1026"/>
      <c r="I27" s="1025">
        <f>SUM(I25:I25)</f>
        <v>318432</v>
      </c>
      <c r="J27" s="1025">
        <f>SUM(J25:J26)</f>
        <v>1.5</v>
      </c>
      <c r="K27" s="1025">
        <f>SUM(K25:K26)</f>
        <v>406666.66666666669</v>
      </c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6"/>
      <c r="W27" s="1025">
        <f t="shared" ref="W27" si="6">SUM(W25:W25)</f>
        <v>420000</v>
      </c>
      <c r="X27" s="471"/>
      <c r="Y27" s="471"/>
      <c r="Z27" s="899"/>
      <c r="AA27" s="899"/>
      <c r="AB27" s="899"/>
    </row>
    <row r="28" spans="1:28" ht="14.25" hidden="1" customHeight="1" x14ac:dyDescent="0.2">
      <c r="A28" s="978">
        <v>1</v>
      </c>
      <c r="B28" s="979" t="s">
        <v>977</v>
      </c>
      <c r="C28" s="979" t="s">
        <v>978</v>
      </c>
      <c r="D28" s="980">
        <v>5517362</v>
      </c>
      <c r="E28" s="980">
        <v>621500</v>
      </c>
      <c r="F28" s="979" t="s">
        <v>386</v>
      </c>
      <c r="G28" s="979" t="s">
        <v>1344</v>
      </c>
      <c r="H28" s="981">
        <v>1</v>
      </c>
      <c r="I28" s="982">
        <v>177357</v>
      </c>
      <c r="J28" s="981">
        <v>1</v>
      </c>
      <c r="K28" s="982">
        <v>178000</v>
      </c>
      <c r="L28" s="982"/>
      <c r="M28" s="982"/>
      <c r="N28" s="982"/>
      <c r="O28" s="982"/>
      <c r="P28" s="982"/>
      <c r="Q28" s="982"/>
      <c r="R28" s="982"/>
      <c r="S28" s="982"/>
      <c r="T28" s="982"/>
      <c r="U28" s="982"/>
      <c r="V28" s="981">
        <v>1</v>
      </c>
      <c r="W28" s="983">
        <v>178000</v>
      </c>
      <c r="X28" s="740"/>
      <c r="Y28" s="741"/>
      <c r="Z28" s="899">
        <v>163825</v>
      </c>
      <c r="AA28" s="899"/>
      <c r="AB28" s="899"/>
    </row>
    <row r="29" spans="1:28" ht="19.5" hidden="1" customHeight="1" x14ac:dyDescent="0.2">
      <c r="A29" s="1021" t="s">
        <v>1345</v>
      </c>
      <c r="B29" s="1023"/>
      <c r="C29" s="1023"/>
      <c r="D29" s="1024"/>
      <c r="E29" s="1024"/>
      <c r="F29" s="1023"/>
      <c r="G29" s="1023"/>
      <c r="H29" s="1026"/>
      <c r="I29" s="1025">
        <f>SUM(I28)</f>
        <v>177357</v>
      </c>
      <c r="J29" s="1025">
        <f t="shared" ref="J29:W29" si="7">SUM(J28)</f>
        <v>1</v>
      </c>
      <c r="K29" s="1025">
        <f t="shared" si="7"/>
        <v>178000</v>
      </c>
      <c r="L29" s="1025"/>
      <c r="M29" s="1025"/>
      <c r="N29" s="1025"/>
      <c r="O29" s="1025"/>
      <c r="P29" s="1025"/>
      <c r="Q29" s="1025"/>
      <c r="R29" s="1025"/>
      <c r="S29" s="1025"/>
      <c r="T29" s="1025"/>
      <c r="U29" s="1025"/>
      <c r="V29" s="1026"/>
      <c r="W29" s="1025">
        <f t="shared" si="7"/>
        <v>178000</v>
      </c>
      <c r="X29" s="471"/>
      <c r="Y29" s="471"/>
      <c r="Z29" s="899"/>
      <c r="AA29" s="899"/>
      <c r="AB29" s="899"/>
    </row>
    <row r="30" spans="1:28" ht="14.25" hidden="1" customHeight="1" x14ac:dyDescent="0.2">
      <c r="A30" s="978">
        <v>1</v>
      </c>
      <c r="B30" s="979" t="s">
        <v>1346</v>
      </c>
      <c r="C30" s="979" t="s">
        <v>980</v>
      </c>
      <c r="D30" s="980">
        <v>5125326</v>
      </c>
      <c r="E30" s="980">
        <v>623000</v>
      </c>
      <c r="F30" s="979" t="s">
        <v>1815</v>
      </c>
      <c r="G30" s="979" t="s">
        <v>980</v>
      </c>
      <c r="H30" s="981">
        <v>0</v>
      </c>
      <c r="I30" s="982">
        <v>0</v>
      </c>
      <c r="J30" s="981">
        <v>1</v>
      </c>
      <c r="K30" s="982">
        <f>90000/12*4</f>
        <v>30000</v>
      </c>
      <c r="L30" s="982"/>
      <c r="M30" s="982"/>
      <c r="N30" s="982"/>
      <c r="O30" s="982"/>
      <c r="P30" s="982"/>
      <c r="Q30" s="982"/>
      <c r="R30" s="982"/>
      <c r="S30" s="982"/>
      <c r="T30" s="982"/>
      <c r="U30" s="982"/>
      <c r="V30" s="981">
        <v>1</v>
      </c>
      <c r="W30" s="983">
        <v>90000</v>
      </c>
      <c r="X30" s="471"/>
      <c r="Y30" s="471"/>
      <c r="Z30" s="899"/>
      <c r="AA30" s="899"/>
      <c r="AB30" s="899"/>
    </row>
    <row r="31" spans="1:28" ht="14.25" hidden="1" customHeight="1" x14ac:dyDescent="0.2">
      <c r="A31" s="978">
        <v>1</v>
      </c>
      <c r="B31" s="979" t="s">
        <v>983</v>
      </c>
      <c r="C31" s="979" t="s">
        <v>984</v>
      </c>
      <c r="D31" s="980">
        <v>2332248</v>
      </c>
      <c r="E31" s="980">
        <v>623000</v>
      </c>
      <c r="F31" s="979" t="s">
        <v>980</v>
      </c>
      <c r="G31" s="979" t="s">
        <v>1347</v>
      </c>
      <c r="H31" s="981">
        <v>1</v>
      </c>
      <c r="I31" s="982">
        <v>133574</v>
      </c>
      <c r="J31" s="981">
        <v>1</v>
      </c>
      <c r="K31" s="982">
        <v>134000</v>
      </c>
      <c r="L31" s="982"/>
      <c r="M31" s="982"/>
      <c r="N31" s="982"/>
      <c r="O31" s="982"/>
      <c r="P31" s="982"/>
      <c r="Q31" s="982"/>
      <c r="R31" s="982"/>
      <c r="S31" s="982"/>
      <c r="T31" s="982"/>
      <c r="U31" s="982"/>
      <c r="V31" s="981">
        <v>1</v>
      </c>
      <c r="W31" s="983">
        <v>134000</v>
      </c>
      <c r="X31" s="471"/>
      <c r="Y31" s="471"/>
      <c r="Z31" s="899">
        <v>122176</v>
      </c>
      <c r="AA31" s="899"/>
      <c r="AB31" s="899"/>
    </row>
    <row r="32" spans="1:28" ht="14.25" hidden="1" customHeight="1" x14ac:dyDescent="0.2">
      <c r="A32" s="978">
        <v>1</v>
      </c>
      <c r="B32" s="979" t="s">
        <v>958</v>
      </c>
      <c r="C32" s="979" t="s">
        <v>982</v>
      </c>
      <c r="D32" s="980">
        <v>5854368</v>
      </c>
      <c r="E32" s="980">
        <v>623000</v>
      </c>
      <c r="F32" s="979" t="s">
        <v>980</v>
      </c>
      <c r="G32" s="979" t="s">
        <v>980</v>
      </c>
      <c r="H32" s="981">
        <v>1</v>
      </c>
      <c r="I32" s="982">
        <v>110084</v>
      </c>
      <c r="J32" s="981">
        <v>1</v>
      </c>
      <c r="K32" s="982">
        <v>110000</v>
      </c>
      <c r="L32" s="982"/>
      <c r="M32" s="982"/>
      <c r="N32" s="982"/>
      <c r="O32" s="982"/>
      <c r="P32" s="982"/>
      <c r="Q32" s="982"/>
      <c r="R32" s="982"/>
      <c r="S32" s="982"/>
      <c r="T32" s="982"/>
      <c r="U32" s="982"/>
      <c r="V32" s="981">
        <v>1</v>
      </c>
      <c r="W32" s="983">
        <v>110000</v>
      </c>
      <c r="X32" s="471"/>
      <c r="Y32" s="471"/>
      <c r="Z32" s="899">
        <v>101901</v>
      </c>
      <c r="AA32" s="899"/>
      <c r="AB32" s="899"/>
    </row>
    <row r="33" spans="1:28" ht="14.25" hidden="1" customHeight="1" x14ac:dyDescent="0.2">
      <c r="A33" s="978">
        <v>1</v>
      </c>
      <c r="B33" s="979" t="s">
        <v>1077</v>
      </c>
      <c r="C33" s="979" t="s">
        <v>1348</v>
      </c>
      <c r="D33" s="980">
        <v>3443023</v>
      </c>
      <c r="E33" s="980">
        <v>623000</v>
      </c>
      <c r="F33" s="979" t="s">
        <v>980</v>
      </c>
      <c r="G33" s="979" t="s">
        <v>980</v>
      </c>
      <c r="H33" s="981">
        <v>1</v>
      </c>
      <c r="I33" s="982">
        <f>92188+919</f>
        <v>93107</v>
      </c>
      <c r="J33" s="981">
        <v>1</v>
      </c>
      <c r="K33" s="982">
        <f>93107/12*7</f>
        <v>54312.416666666672</v>
      </c>
      <c r="L33" s="982"/>
      <c r="M33" s="982"/>
      <c r="N33" s="982"/>
      <c r="O33" s="982"/>
      <c r="P33" s="982"/>
      <c r="Q33" s="982"/>
      <c r="R33" s="982"/>
      <c r="S33" s="982"/>
      <c r="T33" s="982"/>
      <c r="U33" s="982"/>
      <c r="V33" s="981">
        <v>0</v>
      </c>
      <c r="W33" s="983">
        <v>0</v>
      </c>
      <c r="X33" s="471"/>
      <c r="Y33" s="471"/>
      <c r="Z33" s="899">
        <f>919+85474</f>
        <v>86393</v>
      </c>
      <c r="AA33" s="899"/>
      <c r="AB33" s="899"/>
    </row>
    <row r="34" spans="1:28" ht="21" hidden="1" customHeight="1" x14ac:dyDescent="0.2">
      <c r="A34" s="1021" t="s">
        <v>1349</v>
      </c>
      <c r="B34" s="1023"/>
      <c r="C34" s="1023"/>
      <c r="D34" s="1024"/>
      <c r="E34" s="1024"/>
      <c r="F34" s="1023"/>
      <c r="G34" s="1023"/>
      <c r="H34" s="1029">
        <f>SUM(H25:H33)</f>
        <v>4.75</v>
      </c>
      <c r="I34" s="1025">
        <f>SUM(I30:I33)</f>
        <v>336765</v>
      </c>
      <c r="J34" s="1025">
        <f t="shared" ref="J34:W34" si="8">SUM(J30:J33)</f>
        <v>4</v>
      </c>
      <c r="K34" s="1025">
        <f t="shared" si="8"/>
        <v>328312.41666666669</v>
      </c>
      <c r="L34" s="1025"/>
      <c r="M34" s="1025"/>
      <c r="N34" s="1025"/>
      <c r="O34" s="1025"/>
      <c r="P34" s="1025"/>
      <c r="Q34" s="1025"/>
      <c r="R34" s="1025"/>
      <c r="S34" s="1025"/>
      <c r="T34" s="1025"/>
      <c r="U34" s="1025"/>
      <c r="V34" s="1029">
        <f>SUM(V25:V33)</f>
        <v>5</v>
      </c>
      <c r="W34" s="1025">
        <f t="shared" si="8"/>
        <v>334000</v>
      </c>
      <c r="X34" s="471"/>
      <c r="Y34" s="471"/>
      <c r="Z34" s="899"/>
      <c r="AA34" s="899"/>
      <c r="AB34" s="899"/>
    </row>
    <row r="35" spans="1:28" ht="14.25" hidden="1" customHeight="1" x14ac:dyDescent="0.2">
      <c r="A35" s="978">
        <v>1</v>
      </c>
      <c r="B35" s="979" t="s">
        <v>987</v>
      </c>
      <c r="C35" s="979" t="s">
        <v>988</v>
      </c>
      <c r="D35" s="980">
        <v>5891124</v>
      </c>
      <c r="E35" s="980">
        <v>711100</v>
      </c>
      <c r="F35" s="979" t="s">
        <v>124</v>
      </c>
      <c r="G35" s="979" t="s">
        <v>1816</v>
      </c>
      <c r="H35" s="981">
        <v>1</v>
      </c>
      <c r="I35" s="982">
        <v>116168</v>
      </c>
      <c r="J35" s="981">
        <v>1</v>
      </c>
      <c r="K35" s="982">
        <v>120000</v>
      </c>
      <c r="L35" s="982"/>
      <c r="M35" s="982"/>
      <c r="N35" s="982"/>
      <c r="O35" s="982"/>
      <c r="P35" s="982"/>
      <c r="Q35" s="982"/>
      <c r="R35" s="982"/>
      <c r="S35" s="982"/>
      <c r="T35" s="982"/>
      <c r="U35" s="982"/>
      <c r="V35" s="981">
        <v>1</v>
      </c>
      <c r="W35" s="983">
        <v>120000</v>
      </c>
      <c r="X35" s="471"/>
      <c r="Y35" s="471"/>
      <c r="Z35" s="899">
        <v>106977</v>
      </c>
      <c r="AA35" s="899"/>
      <c r="AB35" s="899"/>
    </row>
    <row r="36" spans="1:28" ht="20.25" hidden="1" customHeight="1" x14ac:dyDescent="0.2">
      <c r="A36" s="1021" t="s">
        <v>1350</v>
      </c>
      <c r="B36" s="1023"/>
      <c r="C36" s="1023"/>
      <c r="D36" s="1024"/>
      <c r="E36" s="1024"/>
      <c r="F36" s="1023"/>
      <c r="G36" s="1023"/>
      <c r="H36" s="1026">
        <f>SUM(H35)</f>
        <v>1</v>
      </c>
      <c r="I36" s="1025">
        <f>SUM(I35)</f>
        <v>116168</v>
      </c>
      <c r="J36" s="1029">
        <f>SUM(J35)</f>
        <v>1</v>
      </c>
      <c r="K36" s="1025">
        <f t="shared" ref="K36:W36" si="9">SUM(K35)</f>
        <v>120000</v>
      </c>
      <c r="L36" s="1025"/>
      <c r="M36" s="1025"/>
      <c r="N36" s="1025"/>
      <c r="O36" s="1025"/>
      <c r="P36" s="1025"/>
      <c r="Q36" s="1025"/>
      <c r="R36" s="1025"/>
      <c r="S36" s="1025"/>
      <c r="T36" s="1025"/>
      <c r="U36" s="1025"/>
      <c r="V36" s="1026">
        <f>SUM(V35)</f>
        <v>1</v>
      </c>
      <c r="W36" s="1025">
        <f t="shared" si="9"/>
        <v>120000</v>
      </c>
      <c r="X36" s="471"/>
      <c r="Y36" s="471"/>
      <c r="Z36" s="899"/>
      <c r="AA36" s="899"/>
      <c r="AB36" s="899"/>
    </row>
    <row r="37" spans="1:28" ht="14.25" hidden="1" customHeight="1" x14ac:dyDescent="0.2">
      <c r="A37" s="978">
        <v>1</v>
      </c>
      <c r="B37" s="979" t="s">
        <v>1351</v>
      </c>
      <c r="C37" s="979" t="s">
        <v>1048</v>
      </c>
      <c r="D37" s="980">
        <v>5763017</v>
      </c>
      <c r="E37" s="980">
        <v>712200</v>
      </c>
      <c r="F37" s="979" t="s">
        <v>124</v>
      </c>
      <c r="G37" s="979" t="s">
        <v>1352</v>
      </c>
      <c r="H37" s="981">
        <v>1</v>
      </c>
      <c r="I37" s="982">
        <v>89705</v>
      </c>
      <c r="J37" s="981">
        <v>1</v>
      </c>
      <c r="K37" s="982">
        <v>90000</v>
      </c>
      <c r="L37" s="982"/>
      <c r="M37" s="982"/>
      <c r="N37" s="982"/>
      <c r="O37" s="982"/>
      <c r="P37" s="982"/>
      <c r="Q37" s="982"/>
      <c r="R37" s="982"/>
      <c r="S37" s="982"/>
      <c r="T37" s="982"/>
      <c r="U37" s="982"/>
      <c r="V37" s="981">
        <v>1</v>
      </c>
      <c r="W37" s="983">
        <v>90000</v>
      </c>
      <c r="X37" s="471"/>
      <c r="Y37" s="471"/>
      <c r="Z37" s="899">
        <v>81632</v>
      </c>
      <c r="AA37" s="899"/>
      <c r="AB37" s="899"/>
    </row>
    <row r="38" spans="1:28" ht="18.75" hidden="1" customHeight="1" x14ac:dyDescent="0.2">
      <c r="A38" s="1021" t="s">
        <v>1353</v>
      </c>
      <c r="B38" s="1023"/>
      <c r="C38" s="1023"/>
      <c r="D38" s="1024"/>
      <c r="E38" s="1024"/>
      <c r="F38" s="1023"/>
      <c r="G38" s="1023"/>
      <c r="H38" s="1029">
        <f>SUM(H37)</f>
        <v>1</v>
      </c>
      <c r="I38" s="1025">
        <f>SUM(I37)</f>
        <v>89705</v>
      </c>
      <c r="J38" s="1029">
        <f>SUM(J37)</f>
        <v>1</v>
      </c>
      <c r="K38" s="1025">
        <f t="shared" ref="K38:W38" si="10">SUM(K37)</f>
        <v>90000</v>
      </c>
      <c r="L38" s="1025"/>
      <c r="M38" s="1025"/>
      <c r="N38" s="1025"/>
      <c r="O38" s="1025"/>
      <c r="P38" s="1025"/>
      <c r="Q38" s="1025"/>
      <c r="R38" s="1025"/>
      <c r="S38" s="1025"/>
      <c r="T38" s="1025"/>
      <c r="U38" s="1025"/>
      <c r="V38" s="1029">
        <f>SUM(V37)</f>
        <v>1</v>
      </c>
      <c r="W38" s="1025">
        <f t="shared" si="10"/>
        <v>90000</v>
      </c>
      <c r="X38" s="471"/>
      <c r="Y38" s="471"/>
      <c r="Z38" s="899"/>
      <c r="AA38" s="899"/>
      <c r="AB38" s="899"/>
    </row>
    <row r="39" spans="1:28" s="471" customFormat="1" ht="14.25" hidden="1" customHeight="1" x14ac:dyDescent="0.2">
      <c r="A39" s="978">
        <v>1</v>
      </c>
      <c r="B39" s="979" t="s">
        <v>990</v>
      </c>
      <c r="C39" s="979" t="s">
        <v>982</v>
      </c>
      <c r="D39" s="980">
        <v>5250845</v>
      </c>
      <c r="E39" s="980">
        <v>713000</v>
      </c>
      <c r="F39" s="979" t="s">
        <v>991</v>
      </c>
      <c r="G39" s="979" t="s">
        <v>1354</v>
      </c>
      <c r="H39" s="981">
        <v>1</v>
      </c>
      <c r="I39" s="982">
        <v>107451</v>
      </c>
      <c r="J39" s="981">
        <v>1</v>
      </c>
      <c r="K39" s="982">
        <v>90083</v>
      </c>
      <c r="L39" s="982"/>
      <c r="M39" s="982"/>
      <c r="N39" s="982"/>
      <c r="O39" s="982"/>
      <c r="P39" s="982"/>
      <c r="Q39" s="982"/>
      <c r="R39" s="982"/>
      <c r="S39" s="982"/>
      <c r="T39" s="982"/>
      <c r="U39" s="982"/>
      <c r="V39" s="981">
        <v>0</v>
      </c>
      <c r="W39" s="983">
        <v>0</v>
      </c>
      <c r="X39" s="740"/>
      <c r="Z39" s="532">
        <v>99817</v>
      </c>
      <c r="AA39" s="899"/>
      <c r="AB39" s="899"/>
    </row>
    <row r="40" spans="1:28" s="471" customFormat="1" ht="14.25" hidden="1" customHeight="1" x14ac:dyDescent="0.2">
      <c r="A40" s="978">
        <v>1</v>
      </c>
      <c r="B40" s="979" t="s">
        <v>943</v>
      </c>
      <c r="C40" s="979" t="s">
        <v>1085</v>
      </c>
      <c r="D40" s="980">
        <v>5575111</v>
      </c>
      <c r="E40" s="980">
        <v>713000</v>
      </c>
      <c r="F40" s="979" t="s">
        <v>991</v>
      </c>
      <c r="G40" s="979" t="s">
        <v>1355</v>
      </c>
      <c r="H40" s="981">
        <v>1</v>
      </c>
      <c r="I40" s="982">
        <v>97878</v>
      </c>
      <c r="J40" s="981">
        <v>1</v>
      </c>
      <c r="K40" s="982">
        <v>110000</v>
      </c>
      <c r="L40" s="982"/>
      <c r="M40" s="982"/>
      <c r="N40" s="982"/>
      <c r="O40" s="982"/>
      <c r="P40" s="982"/>
      <c r="Q40" s="982"/>
      <c r="R40" s="982"/>
      <c r="S40" s="982"/>
      <c r="T40" s="982"/>
      <c r="U40" s="982"/>
      <c r="V40" s="981">
        <v>0</v>
      </c>
      <c r="W40" s="983">
        <v>0</v>
      </c>
      <c r="X40" s="740"/>
      <c r="Z40" s="532">
        <v>90327</v>
      </c>
      <c r="AA40" s="899"/>
      <c r="AB40" s="899"/>
    </row>
    <row r="41" spans="1:28" ht="19.5" hidden="1" customHeight="1" x14ac:dyDescent="0.2">
      <c r="A41" s="1030" t="s">
        <v>881</v>
      </c>
      <c r="B41" s="1031"/>
      <c r="C41" s="1031"/>
      <c r="D41" s="1032"/>
      <c r="E41" s="1032"/>
      <c r="F41" s="1031"/>
      <c r="G41" s="1031"/>
      <c r="H41" s="1033">
        <f>SUM(H39:H40)</f>
        <v>2</v>
      </c>
      <c r="I41" s="1025">
        <f>SUM(I39:I40)</f>
        <v>205329</v>
      </c>
      <c r="J41" s="1029">
        <f>SUM(J39:J40)</f>
        <v>2</v>
      </c>
      <c r="K41" s="1025">
        <f>SUM(K39:K40)</f>
        <v>200083</v>
      </c>
      <c r="L41" s="1025"/>
      <c r="M41" s="1025"/>
      <c r="N41" s="1025"/>
      <c r="O41" s="1025"/>
      <c r="P41" s="1025"/>
      <c r="Q41" s="1025"/>
      <c r="R41" s="1025"/>
      <c r="S41" s="1025"/>
      <c r="T41" s="1025"/>
      <c r="U41" s="1025"/>
      <c r="V41" s="1026">
        <v>0</v>
      </c>
      <c r="W41" s="1025">
        <f>SUM(W39:W40)</f>
        <v>0</v>
      </c>
      <c r="X41" s="471"/>
      <c r="Y41" s="471"/>
      <c r="Z41" s="899"/>
      <c r="AA41" s="899"/>
      <c r="AB41" s="899"/>
    </row>
    <row r="42" spans="1:28" ht="14.25" hidden="1" customHeight="1" x14ac:dyDescent="0.2">
      <c r="A42" s="978"/>
      <c r="B42" s="979" t="s">
        <v>1356</v>
      </c>
      <c r="C42" s="979" t="s">
        <v>758</v>
      </c>
      <c r="D42" s="980">
        <v>999999</v>
      </c>
      <c r="E42" s="980">
        <v>713300</v>
      </c>
      <c r="F42" s="979" t="s">
        <v>1357</v>
      </c>
      <c r="G42" s="979" t="s">
        <v>989</v>
      </c>
      <c r="H42" s="981">
        <v>0</v>
      </c>
      <c r="I42" s="982">
        <v>0</v>
      </c>
      <c r="J42" s="981">
        <v>0.5</v>
      </c>
      <c r="K42" s="982">
        <v>30000</v>
      </c>
      <c r="L42" s="982"/>
      <c r="M42" s="982"/>
      <c r="N42" s="982"/>
      <c r="O42" s="982"/>
      <c r="P42" s="982"/>
      <c r="Q42" s="982"/>
      <c r="R42" s="982"/>
      <c r="S42" s="982"/>
      <c r="T42" s="982"/>
      <c r="U42" s="982"/>
      <c r="V42" s="981">
        <v>0.5</v>
      </c>
      <c r="W42" s="983">
        <v>60000</v>
      </c>
      <c r="X42" s="471"/>
      <c r="Y42" s="471"/>
      <c r="Z42" s="899"/>
      <c r="AA42" s="899"/>
      <c r="AB42" s="899"/>
    </row>
    <row r="43" spans="1:28" ht="22.5" hidden="1" customHeight="1" x14ac:dyDescent="0.2">
      <c r="A43" s="1021" t="s">
        <v>1358</v>
      </c>
      <c r="B43" s="1023"/>
      <c r="C43" s="1023"/>
      <c r="D43" s="1024"/>
      <c r="E43" s="1024"/>
      <c r="F43" s="1023"/>
      <c r="G43" s="1023"/>
      <c r="H43" s="1026">
        <v>0</v>
      </c>
      <c r="I43" s="1025">
        <f>SUM(I42)</f>
        <v>0</v>
      </c>
      <c r="J43" s="1029">
        <f>SUM(J42)</f>
        <v>0.5</v>
      </c>
      <c r="K43" s="1025">
        <f t="shared" ref="K43:W43" si="11">SUM(K42)</f>
        <v>30000</v>
      </c>
      <c r="L43" s="1025"/>
      <c r="M43" s="1025"/>
      <c r="N43" s="1025"/>
      <c r="O43" s="1025"/>
      <c r="P43" s="1025"/>
      <c r="Q43" s="1025"/>
      <c r="R43" s="1025"/>
      <c r="S43" s="1025"/>
      <c r="T43" s="1025"/>
      <c r="U43" s="1025"/>
      <c r="V43" s="1026">
        <f>SUM(V39:V42)</f>
        <v>0.5</v>
      </c>
      <c r="W43" s="1025">
        <f t="shared" si="11"/>
        <v>60000</v>
      </c>
      <c r="X43" s="471"/>
      <c r="Y43" s="471"/>
      <c r="Z43" s="899"/>
      <c r="AA43" s="899"/>
      <c r="AB43" s="899"/>
    </row>
    <row r="44" spans="1:28" ht="14.25" hidden="1" customHeight="1" x14ac:dyDescent="0.2">
      <c r="A44" s="978">
        <v>1</v>
      </c>
      <c r="B44" s="979" t="s">
        <v>995</v>
      </c>
      <c r="C44" s="979" t="s">
        <v>996</v>
      </c>
      <c r="D44" s="980">
        <v>5692116</v>
      </c>
      <c r="E44" s="980">
        <v>714100</v>
      </c>
      <c r="F44" s="979" t="s">
        <v>997</v>
      </c>
      <c r="G44" s="979" t="s">
        <v>998</v>
      </c>
      <c r="H44" s="981">
        <v>0.2</v>
      </c>
      <c r="I44" s="982">
        <v>89558</v>
      </c>
      <c r="J44" s="981">
        <v>0.2</v>
      </c>
      <c r="K44" s="982">
        <v>90000</v>
      </c>
      <c r="L44" s="982"/>
      <c r="M44" s="982"/>
      <c r="N44" s="982"/>
      <c r="O44" s="982"/>
      <c r="P44" s="982"/>
      <c r="Q44" s="982"/>
      <c r="R44" s="982"/>
      <c r="S44" s="982"/>
      <c r="T44" s="982"/>
      <c r="U44" s="982"/>
      <c r="V44" s="981">
        <v>0.2</v>
      </c>
      <c r="W44" s="983">
        <v>90000</v>
      </c>
      <c r="X44" s="740"/>
      <c r="Y44" s="471"/>
      <c r="Z44" s="899">
        <v>82141</v>
      </c>
      <c r="AA44" s="899"/>
      <c r="AB44" s="899"/>
    </row>
    <row r="45" spans="1:28" ht="21" hidden="1" customHeight="1" x14ac:dyDescent="0.2">
      <c r="A45" s="1021" t="s">
        <v>1359</v>
      </c>
      <c r="B45" s="1023"/>
      <c r="C45" s="1023"/>
      <c r="D45" s="1024"/>
      <c r="E45" s="1024"/>
      <c r="F45" s="1023"/>
      <c r="G45" s="1023"/>
      <c r="H45" s="1029">
        <f>SUM(H44)</f>
        <v>0.2</v>
      </c>
      <c r="I45" s="1025">
        <f>SUM(I44)</f>
        <v>89558</v>
      </c>
      <c r="J45" s="1029">
        <f>SUM(J44)</f>
        <v>0.2</v>
      </c>
      <c r="K45" s="1025">
        <f t="shared" ref="K45:W45" si="12">SUM(K44)</f>
        <v>90000</v>
      </c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9">
        <f>SUM(V44)</f>
        <v>0.2</v>
      </c>
      <c r="W45" s="1025">
        <f t="shared" si="12"/>
        <v>90000</v>
      </c>
      <c r="X45" s="471"/>
      <c r="Y45" s="471"/>
      <c r="Z45" s="899"/>
      <c r="AA45" s="899"/>
      <c r="AB45" s="899"/>
    </row>
    <row r="46" spans="1:28" ht="14.25" hidden="1" customHeight="1" x14ac:dyDescent="0.2">
      <c r="A46" s="978"/>
      <c r="B46" s="979" t="s">
        <v>1547</v>
      </c>
      <c r="C46" s="979" t="s">
        <v>1807</v>
      </c>
      <c r="D46" s="980"/>
      <c r="E46" s="980">
        <v>721000</v>
      </c>
      <c r="F46" s="979" t="s">
        <v>403</v>
      </c>
      <c r="G46" s="979" t="s">
        <v>1810</v>
      </c>
      <c r="H46" s="981">
        <v>0</v>
      </c>
      <c r="I46" s="982">
        <v>0</v>
      </c>
      <c r="J46" s="981">
        <v>1</v>
      </c>
      <c r="K46" s="982">
        <v>60000</v>
      </c>
      <c r="L46" s="982"/>
      <c r="M46" s="982"/>
      <c r="N46" s="982"/>
      <c r="O46" s="982"/>
      <c r="P46" s="982"/>
      <c r="Q46" s="982"/>
      <c r="R46" s="982"/>
      <c r="S46" s="982"/>
      <c r="T46" s="982"/>
      <c r="U46" s="982"/>
      <c r="V46" s="981">
        <v>1</v>
      </c>
      <c r="W46" s="983">
        <v>150000</v>
      </c>
      <c r="X46" s="471"/>
      <c r="Y46" s="471"/>
      <c r="Z46" s="899"/>
      <c r="AA46" s="899"/>
      <c r="AB46" s="899"/>
    </row>
    <row r="47" spans="1:28" ht="21" hidden="1" customHeight="1" x14ac:dyDescent="0.2">
      <c r="A47" s="1021" t="s">
        <v>1811</v>
      </c>
      <c r="B47" s="1023"/>
      <c r="C47" s="1023"/>
      <c r="D47" s="1024"/>
      <c r="E47" s="1024"/>
      <c r="F47" s="1023"/>
      <c r="G47" s="1023"/>
      <c r="H47" s="1029">
        <f>SUM(H46)</f>
        <v>0</v>
      </c>
      <c r="I47" s="1025">
        <f t="shared" ref="I47:W47" si="13">SUM(I46)</f>
        <v>0</v>
      </c>
      <c r="J47" s="1029">
        <f t="shared" si="13"/>
        <v>1</v>
      </c>
      <c r="K47" s="1025">
        <f>SUM(K46)</f>
        <v>60000</v>
      </c>
      <c r="L47" s="1025"/>
      <c r="M47" s="1025"/>
      <c r="N47" s="1025"/>
      <c r="O47" s="1025"/>
      <c r="P47" s="1025"/>
      <c r="Q47" s="1025"/>
      <c r="R47" s="1025"/>
      <c r="S47" s="1025"/>
      <c r="T47" s="1025"/>
      <c r="U47" s="1025"/>
      <c r="V47" s="1029">
        <f t="shared" si="13"/>
        <v>1</v>
      </c>
      <c r="W47" s="1025">
        <f t="shared" si="13"/>
        <v>150000</v>
      </c>
      <c r="X47" s="471"/>
      <c r="Y47" s="471"/>
      <c r="Z47" s="899"/>
      <c r="AA47" s="899"/>
      <c r="AB47" s="899"/>
    </row>
    <row r="48" spans="1:28" ht="14.25" hidden="1" customHeight="1" x14ac:dyDescent="0.2">
      <c r="A48" s="978">
        <v>1</v>
      </c>
      <c r="B48" s="979" t="s">
        <v>1360</v>
      </c>
      <c r="C48" s="979" t="s">
        <v>1361</v>
      </c>
      <c r="D48" s="980">
        <v>52434370</v>
      </c>
      <c r="E48" s="980">
        <v>731000</v>
      </c>
      <c r="F48" s="979" t="s">
        <v>1000</v>
      </c>
      <c r="G48" s="979" t="s">
        <v>1001</v>
      </c>
      <c r="H48" s="981">
        <v>1</v>
      </c>
      <c r="I48" s="982">
        <v>372335</v>
      </c>
      <c r="J48" s="981">
        <v>1</v>
      </c>
      <c r="K48" s="982">
        <v>390000</v>
      </c>
      <c r="L48" s="982"/>
      <c r="M48" s="982"/>
      <c r="N48" s="982"/>
      <c r="O48" s="982"/>
      <c r="P48" s="982"/>
      <c r="Q48" s="982"/>
      <c r="R48" s="982"/>
      <c r="S48" s="982"/>
      <c r="T48" s="982"/>
      <c r="U48" s="982"/>
      <c r="V48" s="981">
        <v>1</v>
      </c>
      <c r="W48" s="983">
        <v>400000</v>
      </c>
      <c r="X48" s="471"/>
      <c r="Y48" s="471"/>
      <c r="Z48" s="899">
        <v>341689</v>
      </c>
      <c r="AA48" s="899"/>
      <c r="AB48" s="899"/>
    </row>
    <row r="49" spans="1:28" ht="14.25" hidden="1" customHeight="1" x14ac:dyDescent="0.2">
      <c r="A49" s="978">
        <v>1</v>
      </c>
      <c r="B49" s="979" t="s">
        <v>1005</v>
      </c>
      <c r="C49" s="979" t="s">
        <v>929</v>
      </c>
      <c r="D49" s="980">
        <v>2910410</v>
      </c>
      <c r="E49" s="980">
        <v>731000</v>
      </c>
      <c r="F49" s="979" t="s">
        <v>1000</v>
      </c>
      <c r="G49" s="979" t="s">
        <v>931</v>
      </c>
      <c r="H49" s="981">
        <v>1</v>
      </c>
      <c r="I49" s="982">
        <v>102873</v>
      </c>
      <c r="J49" s="981">
        <v>1</v>
      </c>
      <c r="K49" s="982">
        <v>103000</v>
      </c>
      <c r="L49" s="982"/>
      <c r="M49" s="982"/>
      <c r="N49" s="982"/>
      <c r="O49" s="982"/>
      <c r="P49" s="982"/>
      <c r="Q49" s="982"/>
      <c r="R49" s="982"/>
      <c r="S49" s="982"/>
      <c r="T49" s="982"/>
      <c r="U49" s="982"/>
      <c r="V49" s="981">
        <v>1</v>
      </c>
      <c r="W49" s="983">
        <v>103000</v>
      </c>
      <c r="X49" s="471"/>
      <c r="Y49" s="471"/>
      <c r="Z49" s="899">
        <v>94978</v>
      </c>
      <c r="AA49" s="899"/>
      <c r="AB49" s="899"/>
    </row>
    <row r="50" spans="1:28" ht="14.25" hidden="1" customHeight="1" x14ac:dyDescent="0.2">
      <c r="A50" s="978">
        <v>1</v>
      </c>
      <c r="B50" s="979" t="s">
        <v>1052</v>
      </c>
      <c r="C50" s="979" t="s">
        <v>1362</v>
      </c>
      <c r="D50" s="980">
        <v>2346198</v>
      </c>
      <c r="E50" s="980">
        <v>731000</v>
      </c>
      <c r="F50" s="979" t="s">
        <v>1000</v>
      </c>
      <c r="G50" s="979" t="s">
        <v>1007</v>
      </c>
      <c r="H50" s="981">
        <v>1</v>
      </c>
      <c r="I50" s="982">
        <v>80289</v>
      </c>
      <c r="J50" s="981">
        <v>1</v>
      </c>
      <c r="K50" s="982">
        <v>80300</v>
      </c>
      <c r="L50" s="982"/>
      <c r="M50" s="982"/>
      <c r="N50" s="982"/>
      <c r="O50" s="982"/>
      <c r="P50" s="982"/>
      <c r="Q50" s="982"/>
      <c r="R50" s="982"/>
      <c r="S50" s="982"/>
      <c r="T50" s="982"/>
      <c r="U50" s="982"/>
      <c r="V50" s="981">
        <v>1</v>
      </c>
      <c r="W50" s="983">
        <v>80300</v>
      </c>
      <c r="X50" s="471"/>
      <c r="Y50" s="471"/>
      <c r="Z50" s="899">
        <v>73229</v>
      </c>
      <c r="AA50" s="899"/>
      <c r="AB50" s="899"/>
    </row>
    <row r="51" spans="1:28" ht="20.25" hidden="1" customHeight="1" x14ac:dyDescent="0.2">
      <c r="A51" s="1021" t="s">
        <v>1363</v>
      </c>
      <c r="B51" s="1023"/>
      <c r="C51" s="1023"/>
      <c r="D51" s="1024"/>
      <c r="E51" s="1024"/>
      <c r="F51" s="1023"/>
      <c r="G51" s="1023"/>
      <c r="H51" s="1029">
        <f>SUM(H48:H50)</f>
        <v>3</v>
      </c>
      <c r="I51" s="1025">
        <f>SUM(I48:I50)</f>
        <v>555497</v>
      </c>
      <c r="J51" s="1029">
        <f>SUM(J48:J50)</f>
        <v>3</v>
      </c>
      <c r="K51" s="1025">
        <f t="shared" ref="K51:W51" si="14">SUM(K48:K50)</f>
        <v>573300</v>
      </c>
      <c r="L51" s="1025"/>
      <c r="M51" s="1025"/>
      <c r="N51" s="1025"/>
      <c r="O51" s="1025"/>
      <c r="P51" s="1025"/>
      <c r="Q51" s="1025"/>
      <c r="R51" s="1025"/>
      <c r="S51" s="1025"/>
      <c r="T51" s="1025"/>
      <c r="U51" s="1025"/>
      <c r="V51" s="1029">
        <f>SUM(V48:V50)</f>
        <v>3</v>
      </c>
      <c r="W51" s="1025">
        <f t="shared" si="14"/>
        <v>583300</v>
      </c>
      <c r="X51" s="471"/>
      <c r="Y51" s="471"/>
      <c r="Z51" s="899"/>
      <c r="AA51" s="899"/>
      <c r="AB51" s="899"/>
    </row>
    <row r="52" spans="1:28" ht="14.25" hidden="1" customHeight="1" x14ac:dyDescent="0.2">
      <c r="A52" s="978">
        <v>1</v>
      </c>
      <c r="B52" s="979" t="s">
        <v>924</v>
      </c>
      <c r="C52" s="979" t="s">
        <v>1019</v>
      </c>
      <c r="D52" s="980">
        <v>27674282</v>
      </c>
      <c r="E52" s="980">
        <v>742200</v>
      </c>
      <c r="F52" s="979" t="s">
        <v>1009</v>
      </c>
      <c r="G52" s="979" t="s">
        <v>1010</v>
      </c>
      <c r="H52" s="981">
        <v>1</v>
      </c>
      <c r="I52" s="982">
        <v>48917</v>
      </c>
      <c r="J52" s="981">
        <v>1</v>
      </c>
      <c r="K52" s="982">
        <v>95000</v>
      </c>
      <c r="L52" s="982"/>
      <c r="M52" s="982"/>
      <c r="N52" s="982"/>
      <c r="O52" s="982"/>
      <c r="P52" s="982"/>
      <c r="Q52" s="982"/>
      <c r="R52" s="982"/>
      <c r="S52" s="982"/>
      <c r="T52" s="982"/>
      <c r="U52" s="982"/>
      <c r="V52" s="981">
        <v>1</v>
      </c>
      <c r="W52" s="983">
        <v>95000</v>
      </c>
      <c r="X52" s="740"/>
      <c r="Y52" s="471"/>
      <c r="Z52" s="899">
        <v>48916</v>
      </c>
      <c r="AA52" s="899"/>
      <c r="AB52" s="899"/>
    </row>
    <row r="53" spans="1:28" ht="14.25" hidden="1" customHeight="1" x14ac:dyDescent="0.2">
      <c r="A53" s="978">
        <v>1</v>
      </c>
      <c r="B53" s="979" t="s">
        <v>924</v>
      </c>
      <c r="C53" s="979" t="s">
        <v>1012</v>
      </c>
      <c r="D53" s="980">
        <v>2827909</v>
      </c>
      <c r="E53" s="980">
        <v>742200</v>
      </c>
      <c r="F53" s="979" t="s">
        <v>1009</v>
      </c>
      <c r="G53" s="979" t="s">
        <v>1010</v>
      </c>
      <c r="H53" s="981">
        <v>1</v>
      </c>
      <c r="I53" s="982">
        <v>207000</v>
      </c>
      <c r="J53" s="981">
        <v>1</v>
      </c>
      <c r="K53" s="982">
        <v>208000</v>
      </c>
      <c r="L53" s="982"/>
      <c r="M53" s="982"/>
      <c r="N53" s="982"/>
      <c r="O53" s="982"/>
      <c r="P53" s="982"/>
      <c r="Q53" s="982"/>
      <c r="R53" s="982"/>
      <c r="S53" s="982"/>
      <c r="T53" s="982"/>
      <c r="U53" s="982"/>
      <c r="V53" s="981">
        <v>1</v>
      </c>
      <c r="W53" s="983">
        <v>208000</v>
      </c>
      <c r="X53" s="471"/>
      <c r="Y53" s="471"/>
      <c r="Z53" s="899">
        <v>190098</v>
      </c>
      <c r="AA53" s="899"/>
      <c r="AB53" s="899"/>
    </row>
    <row r="54" spans="1:28" ht="14.25" hidden="1" customHeight="1" x14ac:dyDescent="0.2">
      <c r="A54" s="978">
        <v>1</v>
      </c>
      <c r="B54" s="979" t="s">
        <v>958</v>
      </c>
      <c r="C54" s="979" t="s">
        <v>1008</v>
      </c>
      <c r="D54" s="980">
        <v>3117319</v>
      </c>
      <c r="E54" s="980">
        <v>742200</v>
      </c>
      <c r="F54" s="979" t="s">
        <v>1009</v>
      </c>
      <c r="G54" s="979" t="s">
        <v>1010</v>
      </c>
      <c r="H54" s="981">
        <v>1</v>
      </c>
      <c r="I54" s="982">
        <v>127706</v>
      </c>
      <c r="J54" s="981">
        <v>1</v>
      </c>
      <c r="K54" s="982">
        <v>128000</v>
      </c>
      <c r="L54" s="982"/>
      <c r="M54" s="982"/>
      <c r="N54" s="982"/>
      <c r="O54" s="982"/>
      <c r="P54" s="982"/>
      <c r="Q54" s="982"/>
      <c r="R54" s="982"/>
      <c r="S54" s="982"/>
      <c r="T54" s="982"/>
      <c r="U54" s="982"/>
      <c r="V54" s="981">
        <v>1</v>
      </c>
      <c r="W54" s="983">
        <v>128000</v>
      </c>
      <c r="X54" s="471"/>
      <c r="Y54" s="471"/>
      <c r="Z54" s="899">
        <v>117094</v>
      </c>
      <c r="AA54" s="899"/>
      <c r="AB54" s="899"/>
    </row>
    <row r="55" spans="1:28" ht="14.25" hidden="1" customHeight="1" x14ac:dyDescent="0.2">
      <c r="A55" s="978">
        <v>1</v>
      </c>
      <c r="B55" s="979" t="s">
        <v>958</v>
      </c>
      <c r="C55" s="979" t="s">
        <v>1011</v>
      </c>
      <c r="D55" s="980">
        <v>4624553</v>
      </c>
      <c r="E55" s="980">
        <v>742200</v>
      </c>
      <c r="F55" s="979" t="s">
        <v>1009</v>
      </c>
      <c r="G55" s="979" t="s">
        <v>1364</v>
      </c>
      <c r="H55" s="981">
        <v>1</v>
      </c>
      <c r="I55" s="982">
        <v>84482</v>
      </c>
      <c r="J55" s="981">
        <v>0</v>
      </c>
      <c r="K55" s="982">
        <v>0</v>
      </c>
      <c r="L55" s="982"/>
      <c r="M55" s="982"/>
      <c r="N55" s="982"/>
      <c r="O55" s="982"/>
      <c r="P55" s="982"/>
      <c r="Q55" s="982"/>
      <c r="R55" s="982"/>
      <c r="S55" s="982"/>
      <c r="T55" s="982"/>
      <c r="U55" s="982"/>
      <c r="V55" s="981">
        <v>0</v>
      </c>
      <c r="W55" s="983">
        <v>0</v>
      </c>
      <c r="X55" s="740"/>
      <c r="Y55" s="471"/>
      <c r="Z55" s="899">
        <v>71524</v>
      </c>
      <c r="AA55" s="899"/>
      <c r="AB55" s="899"/>
    </row>
    <row r="56" spans="1:28" ht="14.25" hidden="1" customHeight="1" x14ac:dyDescent="0.2">
      <c r="A56" s="978">
        <v>1</v>
      </c>
      <c r="B56" s="979" t="s">
        <v>975</v>
      </c>
      <c r="C56" s="979" t="s">
        <v>1013</v>
      </c>
      <c r="D56" s="980">
        <v>5938504</v>
      </c>
      <c r="E56" s="980">
        <v>742200</v>
      </c>
      <c r="F56" s="979" t="s">
        <v>1009</v>
      </c>
      <c r="G56" s="979" t="s">
        <v>1010</v>
      </c>
      <c r="H56" s="981">
        <v>1</v>
      </c>
      <c r="I56" s="982">
        <v>131808</v>
      </c>
      <c r="J56" s="981">
        <v>1</v>
      </c>
      <c r="K56" s="982">
        <v>26000</v>
      </c>
      <c r="L56" s="982"/>
      <c r="M56" s="982"/>
      <c r="N56" s="982"/>
      <c r="O56" s="982"/>
      <c r="P56" s="982"/>
      <c r="Q56" s="982"/>
      <c r="R56" s="982"/>
      <c r="S56" s="982"/>
      <c r="T56" s="982"/>
      <c r="U56" s="982"/>
      <c r="V56" s="981">
        <v>0</v>
      </c>
      <c r="W56" s="983">
        <v>0</v>
      </c>
      <c r="X56" s="471"/>
      <c r="Y56" s="471"/>
      <c r="Z56" s="899">
        <v>122003</v>
      </c>
      <c r="AA56" s="899"/>
      <c r="AB56" s="899"/>
    </row>
    <row r="57" spans="1:28" ht="14.25" hidden="1" customHeight="1" x14ac:dyDescent="0.2">
      <c r="A57" s="978"/>
      <c r="B57" s="979" t="s">
        <v>936</v>
      </c>
      <c r="C57" s="979" t="s">
        <v>936</v>
      </c>
      <c r="D57" s="980">
        <v>9999999</v>
      </c>
      <c r="E57" s="980">
        <v>742200</v>
      </c>
      <c r="F57" s="979" t="s">
        <v>1009</v>
      </c>
      <c r="G57" s="979" t="s">
        <v>1010</v>
      </c>
      <c r="H57" s="981">
        <v>0</v>
      </c>
      <c r="I57" s="982">
        <v>0</v>
      </c>
      <c r="J57" s="981">
        <v>1</v>
      </c>
      <c r="K57" s="982">
        <v>30000</v>
      </c>
      <c r="L57" s="982"/>
      <c r="M57" s="982"/>
      <c r="N57" s="982"/>
      <c r="O57" s="982"/>
      <c r="P57" s="982"/>
      <c r="Q57" s="982"/>
      <c r="R57" s="982"/>
      <c r="S57" s="982"/>
      <c r="T57" s="982"/>
      <c r="U57" s="982"/>
      <c r="V57" s="981">
        <v>1</v>
      </c>
      <c r="W57" s="983">
        <v>90000</v>
      </c>
      <c r="X57" s="471"/>
      <c r="Y57" s="471"/>
      <c r="Z57" s="899"/>
      <c r="AA57" s="899"/>
      <c r="AB57" s="899"/>
    </row>
    <row r="58" spans="1:28" ht="14.25" hidden="1" customHeight="1" x14ac:dyDescent="0.2">
      <c r="A58" s="978">
        <v>1</v>
      </c>
      <c r="B58" s="979" t="s">
        <v>1018</v>
      </c>
      <c r="C58" s="979" t="s">
        <v>1017</v>
      </c>
      <c r="D58" s="980">
        <v>5575149</v>
      </c>
      <c r="E58" s="980">
        <v>742200</v>
      </c>
      <c r="F58" s="979" t="s">
        <v>1009</v>
      </c>
      <c r="G58" s="979" t="s">
        <v>1365</v>
      </c>
      <c r="H58" s="981">
        <v>1</v>
      </c>
      <c r="I58" s="982">
        <v>98918</v>
      </c>
      <c r="J58" s="981">
        <v>1</v>
      </c>
      <c r="K58" s="982">
        <v>99000</v>
      </c>
      <c r="L58" s="982"/>
      <c r="M58" s="982"/>
      <c r="N58" s="982"/>
      <c r="O58" s="982"/>
      <c r="P58" s="982"/>
      <c r="Q58" s="982"/>
      <c r="R58" s="982"/>
      <c r="S58" s="982"/>
      <c r="T58" s="982"/>
      <c r="U58" s="982"/>
      <c r="V58" s="981">
        <v>1</v>
      </c>
      <c r="W58" s="983">
        <v>99000</v>
      </c>
      <c r="X58" s="471"/>
      <c r="Y58" s="471"/>
      <c r="Z58" s="899">
        <v>91017</v>
      </c>
      <c r="AA58" s="899"/>
      <c r="AB58" s="899"/>
    </row>
    <row r="59" spans="1:28" ht="14.25" hidden="1" customHeight="1" x14ac:dyDescent="0.2">
      <c r="A59" s="978">
        <v>1</v>
      </c>
      <c r="B59" s="979" t="s">
        <v>958</v>
      </c>
      <c r="C59" s="979" t="s">
        <v>1081</v>
      </c>
      <c r="D59" s="980">
        <v>2646223</v>
      </c>
      <c r="E59" s="980">
        <v>742200</v>
      </c>
      <c r="F59" s="979" t="s">
        <v>1009</v>
      </c>
      <c r="G59" s="979" t="s">
        <v>1070</v>
      </c>
      <c r="H59" s="981">
        <v>1</v>
      </c>
      <c r="I59" s="982">
        <v>125286</v>
      </c>
      <c r="J59" s="981">
        <v>1</v>
      </c>
      <c r="K59" s="982">
        <v>126000</v>
      </c>
      <c r="L59" s="982"/>
      <c r="M59" s="982"/>
      <c r="N59" s="982"/>
      <c r="O59" s="982"/>
      <c r="P59" s="982"/>
      <c r="Q59" s="982"/>
      <c r="R59" s="982"/>
      <c r="S59" s="982"/>
      <c r="T59" s="982"/>
      <c r="U59" s="982"/>
      <c r="V59" s="981">
        <v>1</v>
      </c>
      <c r="W59" s="983">
        <v>126000</v>
      </c>
      <c r="X59" s="471"/>
      <c r="Y59" s="471"/>
      <c r="Z59" s="899">
        <v>114481</v>
      </c>
      <c r="AA59" s="899"/>
      <c r="AB59" s="899"/>
    </row>
    <row r="60" spans="1:28" ht="19.5" hidden="1" customHeight="1" x14ac:dyDescent="0.2">
      <c r="A60" s="1021" t="s">
        <v>1366</v>
      </c>
      <c r="B60" s="1023"/>
      <c r="C60" s="1023"/>
      <c r="D60" s="1024"/>
      <c r="E60" s="1024"/>
      <c r="F60" s="1023"/>
      <c r="G60" s="1023"/>
      <c r="H60" s="1029">
        <f>SUM(H52:H59)</f>
        <v>7</v>
      </c>
      <c r="I60" s="1025">
        <f>SUM(I52:I59)</f>
        <v>824117</v>
      </c>
      <c r="J60" s="1029">
        <f>SUM(J52:J59)</f>
        <v>7</v>
      </c>
      <c r="K60" s="1025">
        <f t="shared" ref="K60:W60" si="15">SUM(K52:K59)</f>
        <v>712000</v>
      </c>
      <c r="L60" s="1025"/>
      <c r="M60" s="1025"/>
      <c r="N60" s="1025"/>
      <c r="O60" s="1025"/>
      <c r="P60" s="1025"/>
      <c r="Q60" s="1025"/>
      <c r="R60" s="1025"/>
      <c r="S60" s="1025"/>
      <c r="T60" s="1025"/>
      <c r="U60" s="1025"/>
      <c r="V60" s="1029">
        <f>SUM(V52:V59)</f>
        <v>6</v>
      </c>
      <c r="W60" s="1025">
        <f t="shared" si="15"/>
        <v>746000</v>
      </c>
      <c r="X60" s="471"/>
      <c r="Y60" s="471"/>
      <c r="Z60" s="899"/>
      <c r="AA60" s="899"/>
      <c r="AB60" s="899"/>
    </row>
    <row r="61" spans="1:28" ht="14.25" customHeight="1" x14ac:dyDescent="0.2">
      <c r="A61" s="978">
        <v>1</v>
      </c>
      <c r="B61" s="979" t="s">
        <v>958</v>
      </c>
      <c r="C61" s="979" t="s">
        <v>1028</v>
      </c>
      <c r="D61" s="980">
        <v>59930693</v>
      </c>
      <c r="E61" s="980">
        <v>823000</v>
      </c>
      <c r="F61" s="979" t="s">
        <v>1029</v>
      </c>
      <c r="G61" s="979" t="s">
        <v>1030</v>
      </c>
      <c r="H61" s="981">
        <v>0.8</v>
      </c>
      <c r="I61" s="982">
        <v>80526</v>
      </c>
      <c r="J61" s="981">
        <v>0.8</v>
      </c>
      <c r="K61" s="982">
        <v>82000</v>
      </c>
      <c r="L61" s="982"/>
      <c r="M61" s="982"/>
      <c r="N61" s="982"/>
      <c r="O61" s="982"/>
      <c r="P61" s="982"/>
      <c r="Q61" s="982"/>
      <c r="R61" s="982"/>
      <c r="S61" s="982"/>
      <c r="T61" s="982"/>
      <c r="U61" s="982"/>
      <c r="V61" s="981">
        <v>0.8</v>
      </c>
      <c r="W61" s="983">
        <v>82000</v>
      </c>
      <c r="X61" s="471"/>
      <c r="Y61" s="471"/>
      <c r="Z61" s="899">
        <v>74456</v>
      </c>
      <c r="AA61" s="899"/>
      <c r="AB61" s="899"/>
    </row>
    <row r="62" spans="1:28" ht="18" hidden="1" customHeight="1" x14ac:dyDescent="0.2">
      <c r="A62" s="1021" t="s">
        <v>1367</v>
      </c>
      <c r="B62" s="1023"/>
      <c r="C62" s="1023"/>
      <c r="D62" s="1024"/>
      <c r="E62" s="1024"/>
      <c r="F62" s="1023"/>
      <c r="G62" s="1023"/>
      <c r="H62" s="1026"/>
      <c r="I62" s="1025">
        <f>SUM(I61:I61)</f>
        <v>80526</v>
      </c>
      <c r="J62" s="1025">
        <f t="shared" ref="J62:W62" si="16">SUM(J61:J61)</f>
        <v>0.8</v>
      </c>
      <c r="K62" s="1025">
        <f t="shared" si="16"/>
        <v>82000</v>
      </c>
      <c r="L62" s="1025"/>
      <c r="M62" s="1025"/>
      <c r="N62" s="1025"/>
      <c r="O62" s="1025"/>
      <c r="P62" s="1025"/>
      <c r="Q62" s="1025"/>
      <c r="R62" s="1025"/>
      <c r="S62" s="1025"/>
      <c r="T62" s="1025"/>
      <c r="U62" s="1025"/>
      <c r="V62" s="1026"/>
      <c r="W62" s="1025">
        <f t="shared" si="16"/>
        <v>82000</v>
      </c>
      <c r="X62" s="471"/>
      <c r="Y62" s="471"/>
      <c r="Z62" s="899"/>
      <c r="AA62" s="899"/>
      <c r="AB62" s="899"/>
    </row>
    <row r="63" spans="1:28" ht="18" customHeight="1" x14ac:dyDescent="0.2">
      <c r="A63" s="987"/>
      <c r="B63" s="979" t="s">
        <v>1368</v>
      </c>
      <c r="C63" s="979" t="s">
        <v>758</v>
      </c>
      <c r="D63" s="980">
        <v>999999</v>
      </c>
      <c r="E63" s="980">
        <v>824000</v>
      </c>
      <c r="F63" s="979" t="s">
        <v>1369</v>
      </c>
      <c r="G63" s="979" t="s">
        <v>1346</v>
      </c>
      <c r="H63" s="981">
        <v>0.5</v>
      </c>
      <c r="I63" s="982">
        <v>0</v>
      </c>
      <c r="J63" s="981">
        <v>0.5</v>
      </c>
      <c r="K63" s="982">
        <v>40000</v>
      </c>
      <c r="L63" s="982"/>
      <c r="M63" s="982"/>
      <c r="N63" s="982"/>
      <c r="O63" s="982"/>
      <c r="P63" s="982"/>
      <c r="Q63" s="982"/>
      <c r="R63" s="982"/>
      <c r="S63" s="982"/>
      <c r="T63" s="982"/>
      <c r="U63" s="982"/>
      <c r="V63" s="981">
        <v>0.5</v>
      </c>
      <c r="W63" s="983">
        <v>60000</v>
      </c>
      <c r="X63" s="471"/>
      <c r="Y63" s="471"/>
      <c r="Z63" s="899"/>
      <c r="AA63" s="899"/>
      <c r="AB63" s="899"/>
    </row>
    <row r="64" spans="1:28" ht="14.25" customHeight="1" x14ac:dyDescent="0.2">
      <c r="A64" s="978">
        <v>1</v>
      </c>
      <c r="B64" s="979" t="s">
        <v>924</v>
      </c>
      <c r="C64" s="979" t="s">
        <v>1032</v>
      </c>
      <c r="D64" s="980">
        <v>2625132</v>
      </c>
      <c r="E64" s="980">
        <v>824000</v>
      </c>
      <c r="F64" s="979" t="s">
        <v>1033</v>
      </c>
      <c r="G64" s="979" t="s">
        <v>981</v>
      </c>
      <c r="H64" s="981">
        <v>0.6</v>
      </c>
      <c r="I64" s="982">
        <v>56558</v>
      </c>
      <c r="J64" s="981">
        <v>0.6</v>
      </c>
      <c r="K64" s="982">
        <v>60000</v>
      </c>
      <c r="L64" s="982"/>
      <c r="M64" s="982"/>
      <c r="N64" s="982"/>
      <c r="O64" s="982"/>
      <c r="P64" s="982"/>
      <c r="Q64" s="982"/>
      <c r="R64" s="982"/>
      <c r="S64" s="982"/>
      <c r="T64" s="982"/>
      <c r="U64" s="982"/>
      <c r="V64" s="981">
        <v>0.6</v>
      </c>
      <c r="W64" s="983">
        <v>60000</v>
      </c>
      <c r="X64" s="471"/>
      <c r="Y64" s="471"/>
      <c r="Z64" s="899">
        <v>51395</v>
      </c>
      <c r="AA64" s="899"/>
      <c r="AB64" s="899"/>
    </row>
    <row r="65" spans="1:28" ht="14.25" customHeight="1" x14ac:dyDescent="0.2">
      <c r="A65" s="978">
        <v>1</v>
      </c>
      <c r="B65" s="979" t="s">
        <v>987</v>
      </c>
      <c r="C65" s="979" t="s">
        <v>1034</v>
      </c>
      <c r="D65" s="980">
        <v>2750789</v>
      </c>
      <c r="E65" s="980">
        <v>824000</v>
      </c>
      <c r="F65" s="979" t="s">
        <v>1033</v>
      </c>
      <c r="G65" s="979" t="s">
        <v>931</v>
      </c>
      <c r="H65" s="981">
        <v>0.6</v>
      </c>
      <c r="I65" s="982">
        <v>47822</v>
      </c>
      <c r="J65" s="981">
        <v>0.6</v>
      </c>
      <c r="K65" s="982">
        <v>55000</v>
      </c>
      <c r="L65" s="982"/>
      <c r="M65" s="982"/>
      <c r="N65" s="982"/>
      <c r="O65" s="982"/>
      <c r="P65" s="982"/>
      <c r="Q65" s="982"/>
      <c r="R65" s="982"/>
      <c r="S65" s="982"/>
      <c r="T65" s="982"/>
      <c r="U65" s="982"/>
      <c r="V65" s="981">
        <v>0.6</v>
      </c>
      <c r="W65" s="983">
        <v>55000</v>
      </c>
      <c r="X65" s="471"/>
      <c r="Y65" s="471"/>
      <c r="Z65" s="899">
        <v>44118</v>
      </c>
      <c r="AA65" s="899"/>
      <c r="AB65" s="899"/>
    </row>
    <row r="66" spans="1:28" ht="18" hidden="1" customHeight="1" x14ac:dyDescent="0.2">
      <c r="A66" s="1021" t="s">
        <v>1370</v>
      </c>
      <c r="B66" s="1023"/>
      <c r="C66" s="1023"/>
      <c r="D66" s="1024"/>
      <c r="E66" s="1024"/>
      <c r="F66" s="1023"/>
      <c r="G66" s="1023"/>
      <c r="H66" s="1026"/>
      <c r="I66" s="1025">
        <f>SUM(I63:I65)</f>
        <v>104380</v>
      </c>
      <c r="J66" s="1025">
        <f t="shared" ref="J66:W66" si="17">SUM(J63:J65)</f>
        <v>1.7000000000000002</v>
      </c>
      <c r="K66" s="1025">
        <f t="shared" si="17"/>
        <v>155000</v>
      </c>
      <c r="L66" s="1025"/>
      <c r="M66" s="1025"/>
      <c r="N66" s="1025"/>
      <c r="O66" s="1025"/>
      <c r="P66" s="1025"/>
      <c r="Q66" s="1025"/>
      <c r="R66" s="1025"/>
      <c r="S66" s="1025"/>
      <c r="T66" s="1025"/>
      <c r="U66" s="1025"/>
      <c r="V66" s="1026"/>
      <c r="W66" s="1025">
        <f t="shared" si="17"/>
        <v>175000</v>
      </c>
      <c r="X66" s="471"/>
      <c r="Y66" s="471"/>
      <c r="Z66" s="899"/>
      <c r="AA66" s="899"/>
      <c r="AB66" s="899"/>
    </row>
    <row r="67" spans="1:28" ht="14.25" customHeight="1" x14ac:dyDescent="0.2">
      <c r="A67" s="978">
        <v>1</v>
      </c>
      <c r="B67" s="979" t="s">
        <v>1035</v>
      </c>
      <c r="C67" s="979" t="s">
        <v>1036</v>
      </c>
      <c r="D67" s="980">
        <v>5763010</v>
      </c>
      <c r="E67" s="980">
        <v>825000</v>
      </c>
      <c r="F67" s="979" t="s">
        <v>1037</v>
      </c>
      <c r="G67" s="979" t="s">
        <v>981</v>
      </c>
      <c r="H67" s="981">
        <v>0.6</v>
      </c>
      <c r="I67" s="982">
        <v>56172</v>
      </c>
      <c r="J67" s="981">
        <v>0.6</v>
      </c>
      <c r="K67" s="982">
        <v>57000</v>
      </c>
      <c r="L67" s="982"/>
      <c r="M67" s="982"/>
      <c r="N67" s="982"/>
      <c r="O67" s="982"/>
      <c r="P67" s="982"/>
      <c r="Q67" s="982"/>
      <c r="R67" s="982"/>
      <c r="S67" s="982"/>
      <c r="T67" s="982"/>
      <c r="U67" s="982"/>
      <c r="V67" s="981">
        <v>0.6</v>
      </c>
      <c r="W67" s="983">
        <v>57000</v>
      </c>
      <c r="X67" s="471"/>
      <c r="Y67" s="471"/>
      <c r="Z67" s="899">
        <v>51919</v>
      </c>
      <c r="AA67" s="899"/>
      <c r="AB67" s="899"/>
    </row>
    <row r="68" spans="1:28" ht="21" hidden="1" customHeight="1" x14ac:dyDescent="0.2">
      <c r="A68" s="1021" t="s">
        <v>1371</v>
      </c>
      <c r="B68" s="1023"/>
      <c r="C68" s="1023"/>
      <c r="D68" s="1024"/>
      <c r="E68" s="1024"/>
      <c r="F68" s="1023"/>
      <c r="G68" s="1023"/>
      <c r="H68" s="1026"/>
      <c r="I68" s="1025">
        <f>SUM(I67)</f>
        <v>56172</v>
      </c>
      <c r="J68" s="1025">
        <f t="shared" ref="J68:W68" si="18">SUM(J67)</f>
        <v>0.6</v>
      </c>
      <c r="K68" s="1025">
        <f t="shared" si="18"/>
        <v>57000</v>
      </c>
      <c r="L68" s="1025"/>
      <c r="M68" s="1025"/>
      <c r="N68" s="1025"/>
      <c r="O68" s="1025"/>
      <c r="P68" s="1025"/>
      <c r="Q68" s="1025"/>
      <c r="R68" s="1025"/>
      <c r="S68" s="1025"/>
      <c r="T68" s="1025"/>
      <c r="U68" s="1025"/>
      <c r="V68" s="1026"/>
      <c r="W68" s="1025">
        <f t="shared" si="18"/>
        <v>57000</v>
      </c>
      <c r="X68" s="471"/>
      <c r="Y68" s="471"/>
      <c r="Z68" s="899"/>
      <c r="AA68" s="899"/>
      <c r="AB68" s="899"/>
    </row>
    <row r="69" spans="1:28" ht="14.25" customHeight="1" x14ac:dyDescent="0.2">
      <c r="A69" s="978">
        <v>1</v>
      </c>
      <c r="B69" s="979" t="s">
        <v>936</v>
      </c>
      <c r="C69" s="979" t="s">
        <v>936</v>
      </c>
      <c r="D69" s="980">
        <v>9999999</v>
      </c>
      <c r="E69" s="980">
        <v>828100</v>
      </c>
      <c r="F69" s="979" t="s">
        <v>1049</v>
      </c>
      <c r="G69" s="979" t="s">
        <v>1049</v>
      </c>
      <c r="H69" s="981">
        <v>0.5</v>
      </c>
      <c r="I69" s="982">
        <f>5304+3040</f>
        <v>8344</v>
      </c>
      <c r="J69" s="981">
        <v>0.5</v>
      </c>
      <c r="K69" s="982">
        <v>40000</v>
      </c>
      <c r="L69" s="982"/>
      <c r="M69" s="982"/>
      <c r="N69" s="982"/>
      <c r="O69" s="982"/>
      <c r="P69" s="982"/>
      <c r="Q69" s="982"/>
      <c r="R69" s="982"/>
      <c r="S69" s="982"/>
      <c r="T69" s="982"/>
      <c r="U69" s="982"/>
      <c r="V69" s="981">
        <v>0.5</v>
      </c>
      <c r="W69" s="983">
        <v>40000</v>
      </c>
      <c r="X69" s="471"/>
      <c r="Y69" s="471"/>
      <c r="Z69" s="899"/>
      <c r="AA69" s="899"/>
      <c r="AB69" s="899"/>
    </row>
    <row r="70" spans="1:28" ht="14.25" customHeight="1" x14ac:dyDescent="0.2">
      <c r="A70" s="978">
        <v>1</v>
      </c>
      <c r="B70" s="979" t="s">
        <v>1372</v>
      </c>
      <c r="C70" s="979" t="s">
        <v>944</v>
      </c>
      <c r="D70" s="980">
        <v>2474642</v>
      </c>
      <c r="E70" s="980">
        <v>828100</v>
      </c>
      <c r="F70" s="979" t="s">
        <v>1049</v>
      </c>
      <c r="G70" s="979" t="s">
        <v>1049</v>
      </c>
      <c r="H70" s="981">
        <v>1</v>
      </c>
      <c r="I70" s="982">
        <v>89523</v>
      </c>
      <c r="J70" s="981">
        <v>1</v>
      </c>
      <c r="K70" s="982">
        <v>70000</v>
      </c>
      <c r="L70" s="982"/>
      <c r="M70" s="982"/>
      <c r="N70" s="982"/>
      <c r="O70" s="982"/>
      <c r="P70" s="982"/>
      <c r="Q70" s="982"/>
      <c r="R70" s="982"/>
      <c r="S70" s="982"/>
      <c r="T70" s="982"/>
      <c r="U70" s="982"/>
      <c r="V70" s="981">
        <v>1</v>
      </c>
      <c r="W70" s="983">
        <v>70000</v>
      </c>
      <c r="X70" s="471"/>
      <c r="Y70" s="471"/>
      <c r="Z70" s="899">
        <v>82664</v>
      </c>
      <c r="AA70" s="899"/>
      <c r="AB70" s="899"/>
    </row>
    <row r="71" spans="1:28" ht="14.25" customHeight="1" x14ac:dyDescent="0.2">
      <c r="A71" s="978">
        <v>1</v>
      </c>
      <c r="B71" s="979" t="s">
        <v>1052</v>
      </c>
      <c r="C71" s="979" t="s">
        <v>1053</v>
      </c>
      <c r="D71" s="980">
        <v>5944923</v>
      </c>
      <c r="E71" s="980">
        <v>828100</v>
      </c>
      <c r="F71" s="979" t="s">
        <v>1049</v>
      </c>
      <c r="G71" s="979" t="s">
        <v>1373</v>
      </c>
      <c r="H71" s="981">
        <v>1</v>
      </c>
      <c r="I71" s="982">
        <v>127294</v>
      </c>
      <c r="J71" s="981">
        <v>1</v>
      </c>
      <c r="K71" s="982">
        <v>130000</v>
      </c>
      <c r="L71" s="982"/>
      <c r="M71" s="982"/>
      <c r="N71" s="982"/>
      <c r="O71" s="982"/>
      <c r="P71" s="982"/>
      <c r="Q71" s="982"/>
      <c r="R71" s="982"/>
      <c r="S71" s="982"/>
      <c r="T71" s="982"/>
      <c r="U71" s="982"/>
      <c r="V71" s="981">
        <v>1</v>
      </c>
      <c r="W71" s="983">
        <v>130000</v>
      </c>
      <c r="X71" s="471"/>
      <c r="Y71" s="471"/>
      <c r="Z71" s="899">
        <v>114981</v>
      </c>
      <c r="AA71" s="899"/>
      <c r="AB71" s="899"/>
    </row>
    <row r="72" spans="1:28" ht="14.25" customHeight="1" x14ac:dyDescent="0.2">
      <c r="A72" s="978">
        <v>1</v>
      </c>
      <c r="B72" s="979" t="s">
        <v>936</v>
      </c>
      <c r="C72" s="979" t="s">
        <v>936</v>
      </c>
      <c r="D72" s="980">
        <v>9999999</v>
      </c>
      <c r="E72" s="980">
        <v>828100</v>
      </c>
      <c r="F72" s="979" t="s">
        <v>1049</v>
      </c>
      <c r="G72" s="979" t="s">
        <v>1375</v>
      </c>
      <c r="H72" s="981">
        <v>0.25</v>
      </c>
      <c r="I72" s="982">
        <v>0</v>
      </c>
      <c r="J72" s="981">
        <v>0.25</v>
      </c>
      <c r="K72" s="982">
        <v>42000</v>
      </c>
      <c r="L72" s="982"/>
      <c r="M72" s="982"/>
      <c r="N72" s="982"/>
      <c r="O72" s="982"/>
      <c r="P72" s="982"/>
      <c r="Q72" s="982"/>
      <c r="R72" s="982"/>
      <c r="S72" s="982"/>
      <c r="T72" s="982"/>
      <c r="U72" s="982"/>
      <c r="V72" s="981">
        <v>0.25</v>
      </c>
      <c r="W72" s="983">
        <v>42000</v>
      </c>
      <c r="X72" s="471"/>
      <c r="Y72" s="471"/>
      <c r="Z72" s="899">
        <v>1632</v>
      </c>
      <c r="AA72" s="899"/>
      <c r="AB72" s="899"/>
    </row>
    <row r="73" spans="1:28" ht="22.5" hidden="1" customHeight="1" x14ac:dyDescent="0.2">
      <c r="A73" s="1021" t="s">
        <v>1376</v>
      </c>
      <c r="B73" s="1023"/>
      <c r="C73" s="1023"/>
      <c r="D73" s="1024"/>
      <c r="E73" s="1024"/>
      <c r="F73" s="1023"/>
      <c r="G73" s="1023"/>
      <c r="H73" s="1026"/>
      <c r="I73" s="1025">
        <f>SUM(I69:I72)</f>
        <v>225161</v>
      </c>
      <c r="J73" s="1025">
        <f t="shared" ref="J73:W73" si="19">SUM(J69:J72)</f>
        <v>2.75</v>
      </c>
      <c r="K73" s="1025">
        <f t="shared" si="19"/>
        <v>282000</v>
      </c>
      <c r="L73" s="1025"/>
      <c r="M73" s="1025"/>
      <c r="N73" s="1025"/>
      <c r="O73" s="1025"/>
      <c r="P73" s="1025"/>
      <c r="Q73" s="1025"/>
      <c r="R73" s="1025"/>
      <c r="S73" s="1025"/>
      <c r="T73" s="1025"/>
      <c r="U73" s="1025"/>
      <c r="V73" s="1026"/>
      <c r="W73" s="1025">
        <f t="shared" si="19"/>
        <v>282000</v>
      </c>
      <c r="X73" s="471"/>
      <c r="Y73" s="471"/>
      <c r="Z73" s="899"/>
      <c r="AA73" s="899"/>
      <c r="AB73" s="899"/>
    </row>
    <row r="74" spans="1:28" ht="14.25" customHeight="1" x14ac:dyDescent="0.2">
      <c r="A74" s="978">
        <v>1</v>
      </c>
      <c r="B74" s="979" t="s">
        <v>1050</v>
      </c>
      <c r="C74" s="979" t="s">
        <v>1051</v>
      </c>
      <c r="D74" s="980">
        <v>5079682</v>
      </c>
      <c r="E74" s="980">
        <v>829000</v>
      </c>
      <c r="F74" s="979" t="s">
        <v>1064</v>
      </c>
      <c r="G74" s="979" t="s">
        <v>1065</v>
      </c>
      <c r="H74" s="981">
        <v>1</v>
      </c>
      <c r="I74" s="982">
        <v>108860</v>
      </c>
      <c r="J74" s="981">
        <v>1</v>
      </c>
      <c r="K74" s="982">
        <v>110000</v>
      </c>
      <c r="L74" s="982"/>
      <c r="M74" s="982"/>
      <c r="N74" s="982"/>
      <c r="O74" s="982"/>
      <c r="P74" s="982"/>
      <c r="Q74" s="982"/>
      <c r="R74" s="982"/>
      <c r="S74" s="982"/>
      <c r="T74" s="982"/>
      <c r="U74" s="982"/>
      <c r="V74" s="981">
        <v>1</v>
      </c>
      <c r="W74" s="983">
        <v>120000</v>
      </c>
      <c r="X74" s="471"/>
      <c r="Y74" s="471"/>
      <c r="Z74" s="899">
        <v>100732</v>
      </c>
      <c r="AA74" s="899"/>
      <c r="AB74" s="899"/>
    </row>
    <row r="75" spans="1:28" ht="14.25" customHeight="1" x14ac:dyDescent="0.2">
      <c r="A75" s="978">
        <v>1</v>
      </c>
      <c r="B75" s="979" t="s">
        <v>939</v>
      </c>
      <c r="C75" s="979" t="s">
        <v>1066</v>
      </c>
      <c r="D75" s="980">
        <v>5934878</v>
      </c>
      <c r="E75" s="980">
        <v>829000</v>
      </c>
      <c r="F75" s="979" t="s">
        <v>1064</v>
      </c>
      <c r="G75" s="979" t="s">
        <v>1067</v>
      </c>
      <c r="H75" s="981">
        <v>1</v>
      </c>
      <c r="I75" s="982">
        <v>114015</v>
      </c>
      <c r="J75" s="981">
        <v>1</v>
      </c>
      <c r="K75" s="982">
        <v>114000</v>
      </c>
      <c r="L75" s="982"/>
      <c r="M75" s="982"/>
      <c r="N75" s="982"/>
      <c r="O75" s="982"/>
      <c r="P75" s="982"/>
      <c r="Q75" s="982"/>
      <c r="R75" s="982"/>
      <c r="S75" s="982"/>
      <c r="T75" s="982"/>
      <c r="U75" s="982"/>
      <c r="V75" s="981">
        <v>1</v>
      </c>
      <c r="W75" s="983">
        <v>114000</v>
      </c>
      <c r="X75" s="471"/>
      <c r="Y75" s="471"/>
      <c r="Z75" s="899">
        <v>105366</v>
      </c>
      <c r="AA75" s="899"/>
      <c r="AB75" s="899"/>
    </row>
    <row r="76" spans="1:28" ht="14.25" customHeight="1" x14ac:dyDescent="0.2">
      <c r="A76" s="978">
        <v>1</v>
      </c>
      <c r="B76" s="979" t="s">
        <v>1068</v>
      </c>
      <c r="C76" s="979" t="s">
        <v>1069</v>
      </c>
      <c r="D76" s="980">
        <v>2086314</v>
      </c>
      <c r="E76" s="980">
        <v>829000</v>
      </c>
      <c r="F76" s="979" t="s">
        <v>1064</v>
      </c>
      <c r="G76" s="979" t="s">
        <v>1070</v>
      </c>
      <c r="H76" s="981">
        <v>1</v>
      </c>
      <c r="I76" s="982">
        <v>88150</v>
      </c>
      <c r="J76" s="981">
        <v>0</v>
      </c>
      <c r="K76" s="982">
        <v>0</v>
      </c>
      <c r="L76" s="982"/>
      <c r="M76" s="982"/>
      <c r="N76" s="982"/>
      <c r="O76" s="982"/>
      <c r="P76" s="982"/>
      <c r="Q76" s="982"/>
      <c r="R76" s="982"/>
      <c r="S76" s="982"/>
      <c r="T76" s="982"/>
      <c r="U76" s="982"/>
      <c r="V76" s="981">
        <v>0</v>
      </c>
      <c r="W76" s="983">
        <v>0</v>
      </c>
      <c r="X76" s="740"/>
      <c r="Y76" s="471"/>
      <c r="Z76" s="899">
        <v>88150</v>
      </c>
      <c r="AA76" s="899"/>
      <c r="AB76" s="899"/>
    </row>
    <row r="77" spans="1:28" ht="14.25" customHeight="1" x14ac:dyDescent="0.2">
      <c r="A77" s="978">
        <v>1</v>
      </c>
      <c r="B77" s="979" t="s">
        <v>1377</v>
      </c>
      <c r="C77" s="979" t="s">
        <v>1378</v>
      </c>
      <c r="D77" s="980">
        <v>5891062</v>
      </c>
      <c r="E77" s="980">
        <v>829000</v>
      </c>
      <c r="F77" s="979" t="s">
        <v>1064</v>
      </c>
      <c r="G77" s="979" t="s">
        <v>1379</v>
      </c>
      <c r="H77" s="981">
        <v>0.6</v>
      </c>
      <c r="I77" s="982">
        <v>55765</v>
      </c>
      <c r="J77" s="981">
        <v>0.6</v>
      </c>
      <c r="K77" s="982">
        <v>10000</v>
      </c>
      <c r="L77" s="982"/>
      <c r="M77" s="982"/>
      <c r="N77" s="982"/>
      <c r="O77" s="982"/>
      <c r="P77" s="982"/>
      <c r="Q77" s="982"/>
      <c r="R77" s="982"/>
      <c r="S77" s="982"/>
      <c r="T77" s="982"/>
      <c r="U77" s="982"/>
      <c r="V77" s="981">
        <v>0.6</v>
      </c>
      <c r="W77" s="983">
        <v>0</v>
      </c>
      <c r="X77" s="471"/>
      <c r="Y77" s="471"/>
      <c r="Z77" s="899"/>
      <c r="AA77" s="899"/>
      <c r="AB77" s="899"/>
    </row>
    <row r="78" spans="1:28" ht="14.25" hidden="1" customHeight="1" x14ac:dyDescent="0.2">
      <c r="A78" s="978">
        <v>1</v>
      </c>
      <c r="B78" s="979" t="s">
        <v>943</v>
      </c>
      <c r="C78" s="979" t="s">
        <v>1539</v>
      </c>
      <c r="D78" s="980">
        <v>20055794</v>
      </c>
      <c r="E78" s="980">
        <v>813202</v>
      </c>
      <c r="F78" s="979" t="s">
        <v>1064</v>
      </c>
      <c r="G78" s="979" t="s">
        <v>1379</v>
      </c>
      <c r="H78" s="981">
        <v>0</v>
      </c>
      <c r="I78" s="982">
        <v>0</v>
      </c>
      <c r="J78" s="981">
        <v>0.6</v>
      </c>
      <c r="K78" s="982">
        <v>30000</v>
      </c>
      <c r="L78" s="982"/>
      <c r="M78" s="982"/>
      <c r="N78" s="982"/>
      <c r="O78" s="982"/>
      <c r="P78" s="982"/>
      <c r="Q78" s="982"/>
      <c r="R78" s="982"/>
      <c r="S78" s="982"/>
      <c r="T78" s="982"/>
      <c r="U78" s="982"/>
      <c r="V78" s="981">
        <v>0.6</v>
      </c>
      <c r="W78" s="983">
        <v>70000</v>
      </c>
      <c r="X78" s="471"/>
      <c r="Y78" s="471"/>
      <c r="Z78" s="899"/>
      <c r="AA78" s="899"/>
      <c r="AB78" s="899"/>
    </row>
    <row r="79" spans="1:28" ht="20.25" hidden="1" customHeight="1" x14ac:dyDescent="0.2">
      <c r="A79" s="1021" t="s">
        <v>1380</v>
      </c>
      <c r="B79" s="1023"/>
      <c r="C79" s="1023"/>
      <c r="D79" s="1024"/>
      <c r="E79" s="1024"/>
      <c r="F79" s="1023"/>
      <c r="G79" s="1023"/>
      <c r="H79" s="1029">
        <f>SUM(H61:H78)</f>
        <v>9.4499999999999993</v>
      </c>
      <c r="I79" s="1025">
        <f>SUM(I74:I78)</f>
        <v>366790</v>
      </c>
      <c r="J79" s="1025">
        <f>SUM(J74:J78)</f>
        <v>3.2</v>
      </c>
      <c r="K79" s="1025">
        <f>SUM(K74:K78)</f>
        <v>264000</v>
      </c>
      <c r="L79" s="1025"/>
      <c r="M79" s="1025"/>
      <c r="N79" s="1025"/>
      <c r="O79" s="1025"/>
      <c r="P79" s="1025"/>
      <c r="Q79" s="1025"/>
      <c r="R79" s="1025"/>
      <c r="S79" s="1025"/>
      <c r="T79" s="1025"/>
      <c r="U79" s="1025"/>
      <c r="V79" s="1029">
        <f>SUM(V61:V78)</f>
        <v>9.0499999999999989</v>
      </c>
      <c r="W79" s="1025">
        <f>SUM(W74:W78)</f>
        <v>304000</v>
      </c>
      <c r="X79" s="471"/>
      <c r="Y79" s="471"/>
      <c r="Z79" s="899"/>
      <c r="AA79" s="899"/>
      <c r="AB79" s="899"/>
    </row>
    <row r="80" spans="1:28" ht="14.25" hidden="1" customHeight="1" x14ac:dyDescent="0.2">
      <c r="A80" s="978">
        <v>1</v>
      </c>
      <c r="B80" s="979" t="s">
        <v>939</v>
      </c>
      <c r="C80" s="979" t="s">
        <v>1071</v>
      </c>
      <c r="D80" s="980">
        <v>5387559</v>
      </c>
      <c r="E80" s="980">
        <v>832400</v>
      </c>
      <c r="F80" s="979" t="s">
        <v>1072</v>
      </c>
      <c r="G80" s="979" t="s">
        <v>1073</v>
      </c>
      <c r="H80" s="981">
        <v>0.6</v>
      </c>
      <c r="I80" s="982">
        <v>59330</v>
      </c>
      <c r="J80" s="981">
        <v>0.6</v>
      </c>
      <c r="K80" s="982">
        <v>60000</v>
      </c>
      <c r="L80" s="982"/>
      <c r="M80" s="982"/>
      <c r="N80" s="982"/>
      <c r="O80" s="982"/>
      <c r="P80" s="982"/>
      <c r="Q80" s="982"/>
      <c r="R80" s="982"/>
      <c r="S80" s="982"/>
      <c r="T80" s="982"/>
      <c r="U80" s="982"/>
      <c r="V80" s="981">
        <v>0.6</v>
      </c>
      <c r="W80" s="983">
        <v>60000</v>
      </c>
      <c r="X80" s="471"/>
      <c r="Y80" s="471"/>
      <c r="Z80" s="899">
        <v>54722</v>
      </c>
      <c r="AA80" s="899"/>
      <c r="AB80" s="899"/>
    </row>
    <row r="81" spans="1:28" ht="19.5" hidden="1" customHeight="1" x14ac:dyDescent="0.2">
      <c r="A81" s="1021" t="s">
        <v>1381</v>
      </c>
      <c r="B81" s="1023"/>
      <c r="C81" s="1023"/>
      <c r="D81" s="1024"/>
      <c r="E81" s="1024"/>
      <c r="F81" s="1023"/>
      <c r="G81" s="1023"/>
      <c r="H81" s="1029">
        <f>SUM(H80)</f>
        <v>0.6</v>
      </c>
      <c r="I81" s="1025">
        <f>SUM(I80:I80)</f>
        <v>59330</v>
      </c>
      <c r="J81" s="1029">
        <f>SUM(J80)</f>
        <v>0.6</v>
      </c>
      <c r="K81" s="1025">
        <f>SUM(K80:K80)</f>
        <v>60000</v>
      </c>
      <c r="L81" s="1025"/>
      <c r="M81" s="1025"/>
      <c r="N81" s="1025"/>
      <c r="O81" s="1025"/>
      <c r="P81" s="1025"/>
      <c r="Q81" s="1025"/>
      <c r="R81" s="1025"/>
      <c r="S81" s="1025"/>
      <c r="T81" s="1025"/>
      <c r="U81" s="1025"/>
      <c r="V81" s="1026">
        <f>SUM(V80)</f>
        <v>0.6</v>
      </c>
      <c r="W81" s="1025">
        <f>SUM(W80:W80)</f>
        <v>60000</v>
      </c>
      <c r="X81" s="471"/>
      <c r="Y81" s="471"/>
      <c r="Z81" s="899"/>
      <c r="AA81" s="899"/>
      <c r="AB81" s="899"/>
    </row>
    <row r="82" spans="1:28" ht="14.25" hidden="1" customHeight="1" x14ac:dyDescent="0.2">
      <c r="A82" s="978">
        <v>1</v>
      </c>
      <c r="B82" s="979" t="s">
        <v>958</v>
      </c>
      <c r="C82" s="979" t="s">
        <v>1084</v>
      </c>
      <c r="D82" s="980">
        <v>5987092</v>
      </c>
      <c r="E82" s="980">
        <v>913000</v>
      </c>
      <c r="F82" s="979" t="s">
        <v>1082</v>
      </c>
      <c r="G82" s="979" t="s">
        <v>1083</v>
      </c>
      <c r="H82" s="981">
        <v>1</v>
      </c>
      <c r="I82" s="982">
        <v>121186</v>
      </c>
      <c r="J82" s="981">
        <v>1</v>
      </c>
      <c r="K82" s="982">
        <v>122000</v>
      </c>
      <c r="L82" s="982"/>
      <c r="M82" s="982"/>
      <c r="N82" s="982"/>
      <c r="O82" s="982"/>
      <c r="P82" s="982"/>
      <c r="Q82" s="982"/>
      <c r="R82" s="982"/>
      <c r="S82" s="982"/>
      <c r="T82" s="982"/>
      <c r="U82" s="982"/>
      <c r="V82" s="981">
        <v>1</v>
      </c>
      <c r="W82" s="983">
        <v>122000</v>
      </c>
      <c r="X82" s="740"/>
      <c r="Y82" s="471"/>
      <c r="Z82" s="899">
        <v>111566</v>
      </c>
      <c r="AA82" s="899"/>
      <c r="AB82" s="899"/>
    </row>
    <row r="83" spans="1:28" ht="14.25" hidden="1" customHeight="1" x14ac:dyDescent="0.2">
      <c r="A83" s="978">
        <v>1</v>
      </c>
      <c r="B83" s="979" t="s">
        <v>1087</v>
      </c>
      <c r="C83" s="979" t="s">
        <v>1088</v>
      </c>
      <c r="D83" s="980">
        <v>5625702</v>
      </c>
      <c r="E83" s="980">
        <v>913000</v>
      </c>
      <c r="F83" s="979" t="s">
        <v>1082</v>
      </c>
      <c r="G83" s="979" t="s">
        <v>1083</v>
      </c>
      <c r="H83" s="981">
        <v>1</v>
      </c>
      <c r="I83" s="982">
        <v>195833</v>
      </c>
      <c r="J83" s="981">
        <v>1</v>
      </c>
      <c r="K83" s="982">
        <v>200000</v>
      </c>
      <c r="L83" s="982"/>
      <c r="M83" s="982"/>
      <c r="N83" s="982"/>
      <c r="O83" s="982"/>
      <c r="P83" s="982"/>
      <c r="Q83" s="982"/>
      <c r="R83" s="982"/>
      <c r="S83" s="982"/>
      <c r="T83" s="982"/>
      <c r="U83" s="982"/>
      <c r="V83" s="981">
        <v>0</v>
      </c>
      <c r="W83" s="983">
        <v>0</v>
      </c>
      <c r="X83" s="740"/>
      <c r="Y83" s="471"/>
      <c r="Z83" s="899">
        <v>180129</v>
      </c>
      <c r="AA83" s="899"/>
      <c r="AB83" s="899"/>
    </row>
    <row r="84" spans="1:28" ht="14.25" hidden="1" customHeight="1" x14ac:dyDescent="0.2">
      <c r="A84" s="978">
        <v>1</v>
      </c>
      <c r="B84" s="979" t="s">
        <v>993</v>
      </c>
      <c r="C84" s="979" t="s">
        <v>959</v>
      </c>
      <c r="D84" s="980">
        <v>30018623</v>
      </c>
      <c r="E84" s="980">
        <v>913000</v>
      </c>
      <c r="F84" s="979" t="s">
        <v>1082</v>
      </c>
      <c r="G84" s="979" t="s">
        <v>1382</v>
      </c>
      <c r="H84" s="981">
        <v>0.6</v>
      </c>
      <c r="I84" s="982">
        <v>71440</v>
      </c>
      <c r="J84" s="981">
        <v>0.6</v>
      </c>
      <c r="K84" s="982">
        <v>55000</v>
      </c>
      <c r="L84" s="982"/>
      <c r="M84" s="982"/>
      <c r="N84" s="982"/>
      <c r="O84" s="982"/>
      <c r="P84" s="982"/>
      <c r="Q84" s="982"/>
      <c r="R84" s="982"/>
      <c r="S84" s="982"/>
      <c r="T84" s="982"/>
      <c r="U84" s="982"/>
      <c r="V84" s="981">
        <v>0</v>
      </c>
      <c r="W84" s="983">
        <v>0</v>
      </c>
      <c r="X84" s="471"/>
      <c r="Y84" s="471"/>
      <c r="Z84" s="899">
        <v>65367</v>
      </c>
      <c r="AA84" s="899"/>
      <c r="AB84" s="899"/>
    </row>
    <row r="85" spans="1:28" ht="14.25" hidden="1" customHeight="1" x14ac:dyDescent="0.2">
      <c r="A85" s="978">
        <v>1</v>
      </c>
      <c r="B85" s="979" t="s">
        <v>943</v>
      </c>
      <c r="C85" s="979" t="s">
        <v>1085</v>
      </c>
      <c r="D85" s="980">
        <v>5575111</v>
      </c>
      <c r="E85" s="980">
        <v>713000</v>
      </c>
      <c r="F85" s="979"/>
      <c r="G85" s="979"/>
      <c r="H85" s="981">
        <v>0</v>
      </c>
      <c r="I85" s="982">
        <v>0</v>
      </c>
      <c r="J85" s="981">
        <v>0</v>
      </c>
      <c r="K85" s="982">
        <v>0</v>
      </c>
      <c r="L85" s="982"/>
      <c r="M85" s="982"/>
      <c r="N85" s="982"/>
      <c r="O85" s="982"/>
      <c r="P85" s="982"/>
      <c r="Q85" s="982"/>
      <c r="R85" s="982"/>
      <c r="S85" s="982"/>
      <c r="T85" s="982"/>
      <c r="U85" s="982"/>
      <c r="V85" s="981">
        <v>1</v>
      </c>
      <c r="W85" s="983">
        <v>110000</v>
      </c>
      <c r="X85" s="471"/>
      <c r="Y85" s="471"/>
      <c r="Z85" s="899"/>
      <c r="AA85" s="899"/>
      <c r="AB85" s="899"/>
    </row>
    <row r="86" spans="1:28" ht="18.75" hidden="1" customHeight="1" x14ac:dyDescent="0.2">
      <c r="A86" s="1021" t="s">
        <v>1383</v>
      </c>
      <c r="B86" s="1023"/>
      <c r="C86" s="1023"/>
      <c r="D86" s="1024"/>
      <c r="E86" s="1024"/>
      <c r="F86" s="1023"/>
      <c r="G86" s="1023"/>
      <c r="H86" s="1029">
        <f>SUM(H82:H84)</f>
        <v>2.6</v>
      </c>
      <c r="I86" s="1025">
        <f>SUM(I82:I84)</f>
        <v>388459</v>
      </c>
      <c r="J86" s="1029">
        <f>SUM(J82:J84)</f>
        <v>2.6</v>
      </c>
      <c r="K86" s="1025">
        <f t="shared" ref="K86:W86" si="20">SUM(K82:K84)</f>
        <v>377000</v>
      </c>
      <c r="L86" s="1025"/>
      <c r="M86" s="1025"/>
      <c r="N86" s="1025"/>
      <c r="O86" s="1025"/>
      <c r="P86" s="1025"/>
      <c r="Q86" s="1025"/>
      <c r="R86" s="1025"/>
      <c r="S86" s="1025"/>
      <c r="T86" s="1025"/>
      <c r="U86" s="1025"/>
      <c r="V86" s="1029">
        <f>SUM(V82:V84)</f>
        <v>1</v>
      </c>
      <c r="W86" s="1025">
        <f t="shared" si="20"/>
        <v>122000</v>
      </c>
      <c r="X86" s="471"/>
      <c r="Y86" s="471"/>
      <c r="Z86" s="899"/>
      <c r="AA86" s="899"/>
      <c r="AB86" s="899"/>
    </row>
    <row r="87" spans="1:28" ht="14.25" hidden="1" customHeight="1" x14ac:dyDescent="0.2">
      <c r="A87" s="978">
        <v>1</v>
      </c>
      <c r="B87" s="979" t="s">
        <v>1068</v>
      </c>
      <c r="C87" s="979" t="s">
        <v>1124</v>
      </c>
      <c r="D87" s="980">
        <v>2012818</v>
      </c>
      <c r="E87" s="980">
        <v>996000</v>
      </c>
      <c r="F87" s="979" t="s">
        <v>425</v>
      </c>
      <c r="G87" s="979" t="s">
        <v>425</v>
      </c>
      <c r="H87" s="981">
        <v>0.36</v>
      </c>
      <c r="I87" s="988">
        <v>30147</v>
      </c>
      <c r="J87" s="981">
        <v>0.36</v>
      </c>
      <c r="K87" s="988">
        <v>30147</v>
      </c>
      <c r="L87" s="988"/>
      <c r="M87" s="988"/>
      <c r="N87" s="988"/>
      <c r="O87" s="988"/>
      <c r="P87" s="988"/>
      <c r="Q87" s="988"/>
      <c r="R87" s="988"/>
      <c r="S87" s="988"/>
      <c r="T87" s="988"/>
      <c r="U87" s="988"/>
      <c r="V87" s="981">
        <v>0.36</v>
      </c>
      <c r="W87" s="983">
        <v>30000</v>
      </c>
      <c r="Z87" s="899">
        <v>40054</v>
      </c>
      <c r="AA87" s="899"/>
      <c r="AB87" s="899"/>
    </row>
    <row r="88" spans="1:28" ht="14.25" hidden="1" customHeight="1" x14ac:dyDescent="0.2">
      <c r="A88" s="978">
        <v>1</v>
      </c>
      <c r="B88" s="979" t="s">
        <v>955</v>
      </c>
      <c r="C88" s="979" t="s">
        <v>1144</v>
      </c>
      <c r="D88" s="980">
        <v>2013203</v>
      </c>
      <c r="E88" s="980">
        <v>996000</v>
      </c>
      <c r="F88" s="979" t="s">
        <v>425</v>
      </c>
      <c r="G88" s="979" t="s">
        <v>425</v>
      </c>
      <c r="H88" s="981">
        <v>0.42299999999999999</v>
      </c>
      <c r="I88" s="988">
        <v>36633</v>
      </c>
      <c r="J88" s="981">
        <v>0.42299999999999999</v>
      </c>
      <c r="K88" s="988">
        <v>36633</v>
      </c>
      <c r="L88" s="988"/>
      <c r="M88" s="988"/>
      <c r="N88" s="988"/>
      <c r="O88" s="988"/>
      <c r="P88" s="988"/>
      <c r="Q88" s="988"/>
      <c r="R88" s="988"/>
      <c r="S88" s="988"/>
      <c r="T88" s="988"/>
      <c r="U88" s="988"/>
      <c r="V88" s="981">
        <v>0.42299999999999999</v>
      </c>
      <c r="W88" s="983">
        <v>36000</v>
      </c>
      <c r="Z88" s="899">
        <v>33534</v>
      </c>
      <c r="AA88" s="899"/>
      <c r="AB88" s="899"/>
    </row>
    <row r="89" spans="1:28" ht="14.25" hidden="1" customHeight="1" x14ac:dyDescent="0.2">
      <c r="A89" s="978">
        <v>1</v>
      </c>
      <c r="B89" s="979" t="s">
        <v>975</v>
      </c>
      <c r="C89" s="979" t="s">
        <v>1119</v>
      </c>
      <c r="D89" s="980">
        <v>2013214</v>
      </c>
      <c r="E89" s="980">
        <v>996000</v>
      </c>
      <c r="F89" s="979" t="s">
        <v>425</v>
      </c>
      <c r="G89" s="979" t="s">
        <v>425</v>
      </c>
      <c r="H89" s="981">
        <v>0.186</v>
      </c>
      <c r="I89" s="988">
        <v>14637</v>
      </c>
      <c r="J89" s="981">
        <v>0.186</v>
      </c>
      <c r="K89" s="988">
        <v>14637</v>
      </c>
      <c r="L89" s="988"/>
      <c r="M89" s="988"/>
      <c r="N89" s="988"/>
      <c r="O89" s="988"/>
      <c r="P89" s="988"/>
      <c r="Q89" s="988"/>
      <c r="R89" s="988"/>
      <c r="S89" s="988"/>
      <c r="T89" s="988"/>
      <c r="U89" s="988"/>
      <c r="V89" s="981">
        <v>0.186</v>
      </c>
      <c r="W89" s="983">
        <v>15000</v>
      </c>
      <c r="Z89" s="899">
        <v>22303</v>
      </c>
      <c r="AA89" s="899"/>
      <c r="AB89" s="899"/>
    </row>
    <row r="90" spans="1:28" ht="14.25" hidden="1" customHeight="1" x14ac:dyDescent="0.2">
      <c r="A90" s="978">
        <v>1</v>
      </c>
      <c r="B90" s="979" t="s">
        <v>1058</v>
      </c>
      <c r="C90" s="979" t="s">
        <v>1126</v>
      </c>
      <c r="D90" s="980">
        <v>2016633</v>
      </c>
      <c r="E90" s="980">
        <v>996000</v>
      </c>
      <c r="F90" s="979" t="s">
        <v>425</v>
      </c>
      <c r="G90" s="979" t="s">
        <v>425</v>
      </c>
      <c r="H90" s="981">
        <v>0.224</v>
      </c>
      <c r="I90" s="988">
        <v>16458</v>
      </c>
      <c r="J90" s="981">
        <v>0.224</v>
      </c>
      <c r="K90" s="988">
        <v>16458</v>
      </c>
      <c r="L90" s="988"/>
      <c r="M90" s="988"/>
      <c r="N90" s="988"/>
      <c r="O90" s="988"/>
      <c r="P90" s="988"/>
      <c r="Q90" s="988"/>
      <c r="R90" s="988"/>
      <c r="S90" s="988"/>
      <c r="T90" s="988"/>
      <c r="U90" s="988"/>
      <c r="V90" s="981">
        <v>0.224</v>
      </c>
      <c r="W90" s="983">
        <v>17000</v>
      </c>
      <c r="Z90" s="899">
        <v>289083</v>
      </c>
      <c r="AA90" s="899"/>
      <c r="AB90" s="899"/>
    </row>
    <row r="91" spans="1:28" ht="14.25" hidden="1" customHeight="1" x14ac:dyDescent="0.2">
      <c r="A91" s="978">
        <v>1</v>
      </c>
      <c r="B91" s="979" t="s">
        <v>1111</v>
      </c>
      <c r="C91" s="979" t="s">
        <v>1112</v>
      </c>
      <c r="D91" s="980">
        <v>2016799</v>
      </c>
      <c r="E91" s="980">
        <v>996000</v>
      </c>
      <c r="F91" s="979" t="s">
        <v>425</v>
      </c>
      <c r="G91" s="979" t="s">
        <v>425</v>
      </c>
      <c r="H91" s="981">
        <v>0.44</v>
      </c>
      <c r="I91" s="988">
        <v>48195</v>
      </c>
      <c r="J91" s="981">
        <v>0.44</v>
      </c>
      <c r="K91" s="988">
        <v>48195</v>
      </c>
      <c r="L91" s="988"/>
      <c r="M91" s="988"/>
      <c r="N91" s="988"/>
      <c r="O91" s="988"/>
      <c r="P91" s="988"/>
      <c r="Q91" s="988"/>
      <c r="R91" s="988"/>
      <c r="S91" s="988"/>
      <c r="T91" s="988"/>
      <c r="U91" s="988"/>
      <c r="V91" s="981">
        <v>0.44</v>
      </c>
      <c r="W91" s="983">
        <v>47000</v>
      </c>
      <c r="Z91" s="899">
        <v>19748</v>
      </c>
      <c r="AA91" s="899"/>
      <c r="AB91" s="899"/>
    </row>
    <row r="92" spans="1:28" ht="14.25" hidden="1" customHeight="1" x14ac:dyDescent="0.2">
      <c r="A92" s="978">
        <v>1</v>
      </c>
      <c r="B92" s="979" t="s">
        <v>943</v>
      </c>
      <c r="C92" s="979" t="s">
        <v>1016</v>
      </c>
      <c r="D92" s="980">
        <v>2016851</v>
      </c>
      <c r="E92" s="980">
        <v>996000</v>
      </c>
      <c r="F92" s="979" t="s">
        <v>425</v>
      </c>
      <c r="G92" s="979" t="s">
        <v>425</v>
      </c>
      <c r="H92" s="981">
        <v>0.40300000000000002</v>
      </c>
      <c r="I92" s="988">
        <v>49037</v>
      </c>
      <c r="J92" s="981">
        <v>0.40300000000000002</v>
      </c>
      <c r="K92" s="988">
        <v>49037</v>
      </c>
      <c r="L92" s="988"/>
      <c r="M92" s="988"/>
      <c r="N92" s="988"/>
      <c r="O92" s="988"/>
      <c r="P92" s="988"/>
      <c r="Q92" s="988"/>
      <c r="R92" s="988"/>
      <c r="S92" s="988"/>
      <c r="T92" s="988"/>
      <c r="U92" s="988"/>
      <c r="V92" s="981">
        <v>0.40300000000000002</v>
      </c>
      <c r="W92" s="983">
        <v>48000</v>
      </c>
      <c r="Z92" s="899">
        <v>19680</v>
      </c>
      <c r="AA92" s="899"/>
      <c r="AB92" s="899"/>
    </row>
    <row r="93" spans="1:28" ht="14.25" hidden="1" customHeight="1" x14ac:dyDescent="0.2">
      <c r="A93" s="978">
        <v>1</v>
      </c>
      <c r="B93" s="979" t="s">
        <v>975</v>
      </c>
      <c r="C93" s="979" t="s">
        <v>996</v>
      </c>
      <c r="D93" s="980">
        <v>2016883</v>
      </c>
      <c r="E93" s="980">
        <v>996000</v>
      </c>
      <c r="F93" s="979" t="s">
        <v>425</v>
      </c>
      <c r="G93" s="979" t="s">
        <v>425</v>
      </c>
      <c r="H93" s="981">
        <v>0.45</v>
      </c>
      <c r="I93" s="988">
        <v>35014</v>
      </c>
      <c r="J93" s="981">
        <v>0.45</v>
      </c>
      <c r="K93" s="988">
        <v>35014</v>
      </c>
      <c r="L93" s="988"/>
      <c r="M93" s="988"/>
      <c r="N93" s="988"/>
      <c r="O93" s="988"/>
      <c r="P93" s="988"/>
      <c r="Q93" s="988"/>
      <c r="R93" s="988"/>
      <c r="S93" s="988"/>
      <c r="T93" s="988"/>
      <c r="U93" s="988"/>
      <c r="V93" s="981">
        <v>0.45</v>
      </c>
      <c r="W93" s="983">
        <v>35000</v>
      </c>
      <c r="Z93" s="899">
        <v>156229</v>
      </c>
      <c r="AA93" s="899"/>
      <c r="AB93" s="899"/>
    </row>
    <row r="94" spans="1:28" ht="14.25" hidden="1" customHeight="1" x14ac:dyDescent="0.2">
      <c r="A94" s="978">
        <v>1</v>
      </c>
      <c r="B94" s="979" t="s">
        <v>983</v>
      </c>
      <c r="C94" s="979" t="s">
        <v>1104</v>
      </c>
      <c r="D94" s="980">
        <v>2016962</v>
      </c>
      <c r="E94" s="980">
        <v>996000</v>
      </c>
      <c r="F94" s="979" t="s">
        <v>425</v>
      </c>
      <c r="G94" s="979" t="s">
        <v>425</v>
      </c>
      <c r="H94" s="981">
        <v>0.18</v>
      </c>
      <c r="I94" s="988">
        <v>83977</v>
      </c>
      <c r="J94" s="981">
        <v>0.18</v>
      </c>
      <c r="K94" s="988">
        <v>83977</v>
      </c>
      <c r="L94" s="988"/>
      <c r="M94" s="988"/>
      <c r="N94" s="988"/>
      <c r="O94" s="988"/>
      <c r="P94" s="988"/>
      <c r="Q94" s="988"/>
      <c r="R94" s="988"/>
      <c r="S94" s="988"/>
      <c r="T94" s="988"/>
      <c r="U94" s="988"/>
      <c r="V94" s="981">
        <v>0.18</v>
      </c>
      <c r="W94" s="983">
        <v>84000</v>
      </c>
      <c r="Z94" s="899">
        <v>22242</v>
      </c>
      <c r="AA94" s="899"/>
      <c r="AB94" s="899"/>
    </row>
    <row r="95" spans="1:28" ht="14.25" hidden="1" customHeight="1" x14ac:dyDescent="0.2">
      <c r="A95" s="978">
        <v>1</v>
      </c>
      <c r="B95" s="979" t="s">
        <v>951</v>
      </c>
      <c r="C95" s="979" t="s">
        <v>1131</v>
      </c>
      <c r="D95" s="980">
        <v>2016970</v>
      </c>
      <c r="E95" s="980">
        <v>996000</v>
      </c>
      <c r="F95" s="979" t="s">
        <v>425</v>
      </c>
      <c r="G95" s="979" t="s">
        <v>425</v>
      </c>
      <c r="H95" s="981">
        <v>0.27300000000000002</v>
      </c>
      <c r="I95" s="988">
        <v>23660</v>
      </c>
      <c r="J95" s="981">
        <v>0.27300000000000002</v>
      </c>
      <c r="K95" s="988">
        <v>23660</v>
      </c>
      <c r="L95" s="988"/>
      <c r="M95" s="988"/>
      <c r="N95" s="988"/>
      <c r="O95" s="988"/>
      <c r="P95" s="988"/>
      <c r="Q95" s="988"/>
      <c r="R95" s="988"/>
      <c r="S95" s="988"/>
      <c r="T95" s="988"/>
      <c r="U95" s="988"/>
      <c r="V95" s="981">
        <v>0.27300000000000002</v>
      </c>
      <c r="W95" s="983">
        <v>24000</v>
      </c>
      <c r="Z95" s="899">
        <v>14601</v>
      </c>
      <c r="AA95" s="899"/>
      <c r="AB95" s="899"/>
    </row>
    <row r="96" spans="1:28" ht="14.25" hidden="1" customHeight="1" x14ac:dyDescent="0.2">
      <c r="A96" s="978">
        <v>1</v>
      </c>
      <c r="B96" s="979" t="s">
        <v>951</v>
      </c>
      <c r="C96" s="979" t="s">
        <v>952</v>
      </c>
      <c r="D96" s="980">
        <v>2016977</v>
      </c>
      <c r="E96" s="980">
        <v>996000</v>
      </c>
      <c r="F96" s="979" t="s">
        <v>425</v>
      </c>
      <c r="G96" s="979" t="s">
        <v>425</v>
      </c>
      <c r="H96" s="981">
        <v>0.46</v>
      </c>
      <c r="I96" s="982">
        <v>45787</v>
      </c>
      <c r="J96" s="981">
        <v>0.46</v>
      </c>
      <c r="K96" s="982">
        <v>45787</v>
      </c>
      <c r="L96" s="982"/>
      <c r="M96" s="982"/>
      <c r="N96" s="982"/>
      <c r="O96" s="982"/>
      <c r="P96" s="982"/>
      <c r="Q96" s="982"/>
      <c r="R96" s="982"/>
      <c r="S96" s="982"/>
      <c r="T96" s="982"/>
      <c r="U96" s="982"/>
      <c r="V96" s="981">
        <v>0.46</v>
      </c>
      <c r="W96" s="983">
        <v>54000</v>
      </c>
      <c r="Z96" s="899">
        <v>21022</v>
      </c>
      <c r="AA96" s="899"/>
      <c r="AB96" s="899"/>
    </row>
    <row r="97" spans="1:28" ht="14.25" hidden="1" customHeight="1" x14ac:dyDescent="0.2">
      <c r="A97" s="978">
        <v>1</v>
      </c>
      <c r="B97" s="979" t="s">
        <v>924</v>
      </c>
      <c r="C97" s="979" t="s">
        <v>1113</v>
      </c>
      <c r="D97" s="980">
        <v>2021112</v>
      </c>
      <c r="E97" s="980">
        <v>996000</v>
      </c>
      <c r="F97" s="979" t="s">
        <v>425</v>
      </c>
      <c r="G97" s="979" t="s">
        <v>425</v>
      </c>
      <c r="H97" s="981">
        <v>0.67</v>
      </c>
      <c r="I97" s="988">
        <v>73615</v>
      </c>
      <c r="J97" s="981">
        <v>0.67</v>
      </c>
      <c r="K97" s="988">
        <v>73615</v>
      </c>
      <c r="L97" s="988"/>
      <c r="M97" s="988"/>
      <c r="N97" s="988"/>
      <c r="O97" s="988"/>
      <c r="P97" s="988"/>
      <c r="Q97" s="988"/>
      <c r="R97" s="988"/>
      <c r="S97" s="988"/>
      <c r="T97" s="988"/>
      <c r="U97" s="988"/>
      <c r="V97" s="981">
        <v>0.67</v>
      </c>
      <c r="W97" s="983">
        <v>72000</v>
      </c>
      <c r="Z97" s="899">
        <v>76979</v>
      </c>
      <c r="AA97" s="899"/>
      <c r="AB97" s="899"/>
    </row>
    <row r="98" spans="1:28" ht="14.25" hidden="1" customHeight="1" x14ac:dyDescent="0.2">
      <c r="A98" s="978">
        <v>1</v>
      </c>
      <c r="B98" s="979" t="s">
        <v>924</v>
      </c>
      <c r="C98" s="979" t="s">
        <v>1114</v>
      </c>
      <c r="D98" s="980">
        <v>2021139</v>
      </c>
      <c r="E98" s="980">
        <v>996000</v>
      </c>
      <c r="F98" s="979" t="s">
        <v>425</v>
      </c>
      <c r="G98" s="979" t="s">
        <v>425</v>
      </c>
      <c r="H98" s="981">
        <v>0.32</v>
      </c>
      <c r="I98" s="988">
        <v>23324</v>
      </c>
      <c r="J98" s="981">
        <v>0.32</v>
      </c>
      <c r="K98" s="988">
        <v>23324</v>
      </c>
      <c r="L98" s="988"/>
      <c r="M98" s="988"/>
      <c r="N98" s="988"/>
      <c r="O98" s="988"/>
      <c r="P98" s="988"/>
      <c r="Q98" s="988"/>
      <c r="R98" s="988"/>
      <c r="S98" s="988"/>
      <c r="T98" s="988"/>
      <c r="U98" s="988"/>
      <c r="V98" s="981">
        <v>0.32</v>
      </c>
      <c r="W98" s="983">
        <v>23000</v>
      </c>
      <c r="Z98" s="899">
        <v>27839</v>
      </c>
      <c r="AA98" s="899"/>
      <c r="AB98" s="899"/>
    </row>
    <row r="99" spans="1:28" ht="14.25" hidden="1" customHeight="1" x14ac:dyDescent="0.2">
      <c r="A99" s="978">
        <v>1</v>
      </c>
      <c r="B99" s="979" t="s">
        <v>1068</v>
      </c>
      <c r="C99" s="979" t="s">
        <v>1125</v>
      </c>
      <c r="D99" s="980">
        <v>2021141</v>
      </c>
      <c r="E99" s="980">
        <v>996000</v>
      </c>
      <c r="F99" s="979" t="s">
        <v>425</v>
      </c>
      <c r="G99" s="979" t="s">
        <v>425</v>
      </c>
      <c r="H99" s="981">
        <v>0.67</v>
      </c>
      <c r="I99" s="988">
        <v>111533</v>
      </c>
      <c r="J99" s="981">
        <v>0.67</v>
      </c>
      <c r="K99" s="988">
        <v>111533</v>
      </c>
      <c r="L99" s="988"/>
      <c r="M99" s="988"/>
      <c r="N99" s="988"/>
      <c r="O99" s="988"/>
      <c r="P99" s="988"/>
      <c r="Q99" s="988"/>
      <c r="R99" s="988"/>
      <c r="S99" s="988"/>
      <c r="T99" s="988"/>
      <c r="U99" s="988"/>
      <c r="V99" s="981">
        <v>0.67</v>
      </c>
      <c r="W99" s="983">
        <v>110000</v>
      </c>
      <c r="Z99" s="899">
        <v>73255</v>
      </c>
      <c r="AA99" s="899"/>
      <c r="AB99" s="899"/>
    </row>
    <row r="100" spans="1:28" ht="14.25" hidden="1" customHeight="1" x14ac:dyDescent="0.2">
      <c r="A100" s="978">
        <v>1</v>
      </c>
      <c r="B100" s="979" t="s">
        <v>975</v>
      </c>
      <c r="C100" s="979" t="s">
        <v>1120</v>
      </c>
      <c r="D100" s="980">
        <v>2021217</v>
      </c>
      <c r="E100" s="980">
        <v>996000</v>
      </c>
      <c r="F100" s="979" t="s">
        <v>425</v>
      </c>
      <c r="G100" s="979" t="s">
        <v>425</v>
      </c>
      <c r="H100" s="981">
        <v>0.38700000000000001</v>
      </c>
      <c r="I100" s="988">
        <v>191296</v>
      </c>
      <c r="J100" s="981">
        <v>0.38700000000000001</v>
      </c>
      <c r="K100" s="988">
        <v>191296</v>
      </c>
      <c r="L100" s="988"/>
      <c r="M100" s="988"/>
      <c r="N100" s="988"/>
      <c r="O100" s="988"/>
      <c r="P100" s="988"/>
      <c r="Q100" s="988"/>
      <c r="R100" s="988"/>
      <c r="S100" s="988"/>
      <c r="T100" s="988"/>
      <c r="U100" s="988"/>
      <c r="V100" s="981">
        <v>0.38700000000000001</v>
      </c>
      <c r="W100" s="983">
        <v>190000</v>
      </c>
      <c r="Z100" s="899">
        <v>111245</v>
      </c>
      <c r="AA100" s="899"/>
      <c r="AB100" s="899"/>
    </row>
    <row r="101" spans="1:28" ht="14.25" hidden="1" customHeight="1" x14ac:dyDescent="0.2">
      <c r="A101" s="978">
        <v>1</v>
      </c>
      <c r="B101" s="979" t="s">
        <v>928</v>
      </c>
      <c r="C101" s="979" t="s">
        <v>1102</v>
      </c>
      <c r="D101" s="980">
        <v>2021321</v>
      </c>
      <c r="E101" s="980">
        <v>996000</v>
      </c>
      <c r="F101" s="979" t="s">
        <v>425</v>
      </c>
      <c r="G101" s="979" t="s">
        <v>425</v>
      </c>
      <c r="H101" s="981">
        <v>0.192</v>
      </c>
      <c r="I101" s="988">
        <v>89582</v>
      </c>
      <c r="J101" s="981">
        <v>0.192</v>
      </c>
      <c r="K101" s="988">
        <v>89582</v>
      </c>
      <c r="L101" s="988"/>
      <c r="M101" s="988"/>
      <c r="N101" s="988"/>
      <c r="O101" s="988"/>
      <c r="P101" s="988"/>
      <c r="Q101" s="988"/>
      <c r="R101" s="988"/>
      <c r="S101" s="988"/>
      <c r="T101" s="988"/>
      <c r="U101" s="988"/>
      <c r="V101" s="981">
        <v>0.192</v>
      </c>
      <c r="W101" s="983">
        <v>91000</v>
      </c>
      <c r="Z101" s="899">
        <v>18723</v>
      </c>
      <c r="AA101" s="899"/>
      <c r="AB101" s="899"/>
    </row>
    <row r="102" spans="1:28" ht="14.25" hidden="1" customHeight="1" x14ac:dyDescent="0.2">
      <c r="A102" s="978">
        <v>1</v>
      </c>
      <c r="B102" s="979" t="s">
        <v>987</v>
      </c>
      <c r="C102" s="979" t="s">
        <v>1132</v>
      </c>
      <c r="D102" s="980">
        <v>2021340</v>
      </c>
      <c r="E102" s="980">
        <v>996000</v>
      </c>
      <c r="F102" s="979" t="s">
        <v>425</v>
      </c>
      <c r="G102" s="979" t="s">
        <v>425</v>
      </c>
      <c r="H102" s="981">
        <v>0.26800000000000002</v>
      </c>
      <c r="I102" s="988">
        <v>21533</v>
      </c>
      <c r="J102" s="981">
        <v>0.26800000000000002</v>
      </c>
      <c r="K102" s="988">
        <v>21533</v>
      </c>
      <c r="L102" s="988"/>
      <c r="M102" s="988"/>
      <c r="N102" s="988"/>
      <c r="O102" s="988"/>
      <c r="P102" s="988"/>
      <c r="Q102" s="988"/>
      <c r="R102" s="988"/>
      <c r="S102" s="988"/>
      <c r="T102" s="988"/>
      <c r="U102" s="988"/>
      <c r="V102" s="981">
        <v>0.26800000000000002</v>
      </c>
      <c r="W102" s="983">
        <v>22000</v>
      </c>
      <c r="Z102" s="899">
        <v>52634</v>
      </c>
      <c r="AA102" s="899"/>
      <c r="AB102" s="899"/>
    </row>
    <row r="103" spans="1:28" ht="14.25" hidden="1" customHeight="1" x14ac:dyDescent="0.2">
      <c r="A103" s="978">
        <v>1</v>
      </c>
      <c r="B103" s="979" t="s">
        <v>975</v>
      </c>
      <c r="C103" s="979" t="s">
        <v>1121</v>
      </c>
      <c r="D103" s="980">
        <v>2021420</v>
      </c>
      <c r="E103" s="980">
        <v>996000</v>
      </c>
      <c r="F103" s="979" t="s">
        <v>425</v>
      </c>
      <c r="G103" s="979" t="s">
        <v>425</v>
      </c>
      <c r="H103" s="981">
        <v>0.2</v>
      </c>
      <c r="I103" s="988">
        <v>14156</v>
      </c>
      <c r="J103" s="981">
        <v>0.2</v>
      </c>
      <c r="K103" s="988">
        <v>14156</v>
      </c>
      <c r="L103" s="988"/>
      <c r="M103" s="988"/>
      <c r="N103" s="988"/>
      <c r="O103" s="988"/>
      <c r="P103" s="988"/>
      <c r="Q103" s="988"/>
      <c r="R103" s="988"/>
      <c r="S103" s="988"/>
      <c r="T103" s="988"/>
      <c r="U103" s="988"/>
      <c r="V103" s="981">
        <v>0.2</v>
      </c>
      <c r="W103" s="983">
        <v>14000</v>
      </c>
      <c r="Z103" s="899">
        <v>98009</v>
      </c>
      <c r="AA103" s="899"/>
      <c r="AB103" s="899"/>
    </row>
    <row r="104" spans="1:28" ht="14.25" hidden="1" customHeight="1" x14ac:dyDescent="0.2">
      <c r="A104" s="978">
        <v>1</v>
      </c>
      <c r="B104" s="979" t="s">
        <v>951</v>
      </c>
      <c r="C104" s="979" t="s">
        <v>1084</v>
      </c>
      <c r="D104" s="980">
        <v>2021475</v>
      </c>
      <c r="E104" s="980">
        <v>996000</v>
      </c>
      <c r="F104" s="979" t="s">
        <v>425</v>
      </c>
      <c r="G104" s="979" t="s">
        <v>425</v>
      </c>
      <c r="H104" s="981">
        <v>0.35199999999999998</v>
      </c>
      <c r="I104" s="988">
        <v>49521</v>
      </c>
      <c r="J104" s="981">
        <v>0.35199999999999998</v>
      </c>
      <c r="K104" s="988">
        <v>49521</v>
      </c>
      <c r="L104" s="988"/>
      <c r="M104" s="988"/>
      <c r="N104" s="988"/>
      <c r="O104" s="988"/>
      <c r="P104" s="988"/>
      <c r="Q104" s="988"/>
      <c r="R104" s="988"/>
      <c r="S104" s="988"/>
      <c r="T104" s="988"/>
      <c r="U104" s="988"/>
      <c r="V104" s="981">
        <v>0.35199999999999998</v>
      </c>
      <c r="W104" s="983">
        <v>48000</v>
      </c>
      <c r="Z104" s="899">
        <v>44459</v>
      </c>
      <c r="AA104" s="899"/>
      <c r="AB104" s="899"/>
    </row>
    <row r="105" spans="1:28" ht="14.25" hidden="1" customHeight="1" x14ac:dyDescent="0.2">
      <c r="A105" s="978">
        <v>1</v>
      </c>
      <c r="B105" s="979" t="s">
        <v>951</v>
      </c>
      <c r="C105" s="979" t="s">
        <v>1130</v>
      </c>
      <c r="D105" s="980">
        <v>2021476</v>
      </c>
      <c r="E105" s="980">
        <v>996000</v>
      </c>
      <c r="F105" s="979" t="s">
        <v>425</v>
      </c>
      <c r="G105" s="979" t="s">
        <v>425</v>
      </c>
      <c r="H105" s="981">
        <v>0.27</v>
      </c>
      <c r="I105" s="988">
        <v>24273</v>
      </c>
      <c r="J105" s="981">
        <v>0.27</v>
      </c>
      <c r="K105" s="988">
        <v>24273</v>
      </c>
      <c r="L105" s="988"/>
      <c r="M105" s="988"/>
      <c r="N105" s="988"/>
      <c r="O105" s="988"/>
      <c r="P105" s="988"/>
      <c r="Q105" s="988"/>
      <c r="R105" s="988"/>
      <c r="S105" s="988"/>
      <c r="T105" s="988"/>
      <c r="U105" s="988"/>
      <c r="V105" s="981">
        <v>0.27</v>
      </c>
      <c r="W105" s="983">
        <v>24000</v>
      </c>
      <c r="Z105" s="899">
        <v>68230</v>
      </c>
      <c r="AA105" s="899"/>
      <c r="AB105" s="899"/>
    </row>
    <row r="106" spans="1:28" ht="14.25" hidden="1" customHeight="1" x14ac:dyDescent="0.2">
      <c r="A106" s="978">
        <v>1</v>
      </c>
      <c r="B106" s="979" t="s">
        <v>958</v>
      </c>
      <c r="C106" s="979" t="s">
        <v>1092</v>
      </c>
      <c r="D106" s="980">
        <v>2021542</v>
      </c>
      <c r="E106" s="980">
        <v>996000</v>
      </c>
      <c r="F106" s="979" t="s">
        <v>425</v>
      </c>
      <c r="G106" s="979" t="s">
        <v>425</v>
      </c>
      <c r="H106" s="981">
        <v>0.438</v>
      </c>
      <c r="I106" s="988">
        <v>36305</v>
      </c>
      <c r="J106" s="981">
        <v>0.438</v>
      </c>
      <c r="K106" s="988">
        <v>36305</v>
      </c>
      <c r="L106" s="988"/>
      <c r="M106" s="988"/>
      <c r="N106" s="988"/>
      <c r="O106" s="988"/>
      <c r="P106" s="988"/>
      <c r="Q106" s="988"/>
      <c r="R106" s="988"/>
      <c r="S106" s="988"/>
      <c r="T106" s="988"/>
      <c r="U106" s="988"/>
      <c r="V106" s="981">
        <v>0.438</v>
      </c>
      <c r="W106" s="983">
        <v>33000</v>
      </c>
      <c r="Z106" s="899">
        <v>21547</v>
      </c>
      <c r="AA106" s="899"/>
      <c r="AB106" s="899"/>
    </row>
    <row r="107" spans="1:28" ht="14.25" hidden="1" customHeight="1" x14ac:dyDescent="0.2">
      <c r="A107" s="978">
        <v>1</v>
      </c>
      <c r="B107" s="979" t="s">
        <v>958</v>
      </c>
      <c r="C107" s="979" t="s">
        <v>1093</v>
      </c>
      <c r="D107" s="980">
        <v>2021543</v>
      </c>
      <c r="E107" s="980">
        <v>996000</v>
      </c>
      <c r="F107" s="979" t="s">
        <v>425</v>
      </c>
      <c r="G107" s="979" t="s">
        <v>425</v>
      </c>
      <c r="H107" s="981">
        <v>0.33</v>
      </c>
      <c r="I107" s="988">
        <v>24143</v>
      </c>
      <c r="J107" s="981">
        <v>0.33</v>
      </c>
      <c r="K107" s="988">
        <v>24143</v>
      </c>
      <c r="L107" s="988"/>
      <c r="M107" s="988"/>
      <c r="N107" s="988"/>
      <c r="O107" s="988"/>
      <c r="P107" s="988"/>
      <c r="Q107" s="988"/>
      <c r="R107" s="988"/>
      <c r="S107" s="988"/>
      <c r="T107" s="988"/>
      <c r="U107" s="988"/>
      <c r="V107" s="981">
        <v>0.33</v>
      </c>
      <c r="W107" s="983">
        <v>24000</v>
      </c>
      <c r="Z107" s="899">
        <v>39384</v>
      </c>
      <c r="AA107" s="899"/>
      <c r="AB107" s="899"/>
    </row>
    <row r="108" spans="1:28" ht="14.25" hidden="1" customHeight="1" x14ac:dyDescent="0.2">
      <c r="A108" s="978">
        <v>1</v>
      </c>
      <c r="B108" s="979" t="s">
        <v>958</v>
      </c>
      <c r="C108" s="979" t="s">
        <v>1094</v>
      </c>
      <c r="D108" s="980">
        <v>2021588</v>
      </c>
      <c r="E108" s="980">
        <v>996000</v>
      </c>
      <c r="F108" s="979" t="s">
        <v>425</v>
      </c>
      <c r="G108" s="979" t="s">
        <v>425</v>
      </c>
      <c r="H108" s="981">
        <v>0.7</v>
      </c>
      <c r="I108" s="988">
        <v>315363</v>
      </c>
      <c r="J108" s="981">
        <v>0.7</v>
      </c>
      <c r="K108" s="988">
        <v>315363</v>
      </c>
      <c r="L108" s="988"/>
      <c r="M108" s="988"/>
      <c r="N108" s="988"/>
      <c r="O108" s="988"/>
      <c r="P108" s="988"/>
      <c r="Q108" s="988"/>
      <c r="R108" s="988"/>
      <c r="S108" s="988"/>
      <c r="T108" s="988"/>
      <c r="U108" s="988"/>
      <c r="V108" s="981">
        <v>0.7</v>
      </c>
      <c r="W108" s="983">
        <v>310000</v>
      </c>
      <c r="Z108" s="899">
        <v>62552</v>
      </c>
      <c r="AA108" s="899"/>
      <c r="AB108" s="899"/>
    </row>
    <row r="109" spans="1:28" ht="14.25" hidden="1" customHeight="1" x14ac:dyDescent="0.2">
      <c r="A109" s="978">
        <v>1</v>
      </c>
      <c r="B109" s="979" t="s">
        <v>983</v>
      </c>
      <c r="C109" s="979" t="s">
        <v>1105</v>
      </c>
      <c r="D109" s="980">
        <v>2021625</v>
      </c>
      <c r="E109" s="980">
        <v>996000</v>
      </c>
      <c r="F109" s="979" t="s">
        <v>425</v>
      </c>
      <c r="G109" s="979" t="s">
        <v>425</v>
      </c>
      <c r="H109" s="981">
        <v>0.4</v>
      </c>
      <c r="I109" s="988">
        <v>30067</v>
      </c>
      <c r="J109" s="981">
        <v>0.4</v>
      </c>
      <c r="K109" s="988">
        <v>30067</v>
      </c>
      <c r="L109" s="988"/>
      <c r="M109" s="988"/>
      <c r="N109" s="988"/>
      <c r="O109" s="988"/>
      <c r="P109" s="988"/>
      <c r="Q109" s="988"/>
      <c r="R109" s="988"/>
      <c r="S109" s="988"/>
      <c r="T109" s="988"/>
      <c r="U109" s="988"/>
      <c r="V109" s="981">
        <v>0.4</v>
      </c>
      <c r="W109" s="983">
        <v>46000</v>
      </c>
      <c r="Z109" s="899">
        <v>45185</v>
      </c>
      <c r="AA109" s="899"/>
      <c r="AB109" s="899"/>
    </row>
    <row r="110" spans="1:28" ht="14.25" hidden="1" customHeight="1" x14ac:dyDescent="0.2">
      <c r="A110" s="978">
        <v>1</v>
      </c>
      <c r="B110" s="979" t="s">
        <v>958</v>
      </c>
      <c r="C110" s="979" t="s">
        <v>1095</v>
      </c>
      <c r="D110" s="980">
        <v>2021917</v>
      </c>
      <c r="E110" s="980">
        <v>996000</v>
      </c>
      <c r="F110" s="979" t="s">
        <v>425</v>
      </c>
      <c r="G110" s="979" t="s">
        <v>425</v>
      </c>
      <c r="H110" s="981">
        <v>0.22800000000000001</v>
      </c>
      <c r="I110" s="988">
        <v>31386</v>
      </c>
      <c r="J110" s="981">
        <v>0.22800000000000001</v>
      </c>
      <c r="K110" s="988">
        <v>31386</v>
      </c>
      <c r="L110" s="988"/>
      <c r="M110" s="988"/>
      <c r="N110" s="988"/>
      <c r="O110" s="988"/>
      <c r="P110" s="988"/>
      <c r="Q110" s="988"/>
      <c r="R110" s="988"/>
      <c r="S110" s="988"/>
      <c r="T110" s="988"/>
      <c r="U110" s="988"/>
      <c r="V110" s="981">
        <v>0.22800000000000001</v>
      </c>
      <c r="W110" s="983">
        <v>21000</v>
      </c>
      <c r="Z110" s="899">
        <v>18312</v>
      </c>
      <c r="AA110" s="899"/>
      <c r="AB110" s="899"/>
    </row>
    <row r="111" spans="1:28" ht="14.25" hidden="1" customHeight="1" x14ac:dyDescent="0.2">
      <c r="A111" s="978">
        <v>1</v>
      </c>
      <c r="B111" s="979" t="s">
        <v>951</v>
      </c>
      <c r="C111" s="979" t="s">
        <v>1019</v>
      </c>
      <c r="D111" s="980">
        <v>2021981</v>
      </c>
      <c r="E111" s="980">
        <v>996000</v>
      </c>
      <c r="F111" s="979" t="s">
        <v>425</v>
      </c>
      <c r="G111" s="979" t="s">
        <v>425</v>
      </c>
      <c r="H111" s="981">
        <v>0.56000000000000005</v>
      </c>
      <c r="I111" s="988">
        <v>51086</v>
      </c>
      <c r="J111" s="981">
        <v>0.56000000000000005</v>
      </c>
      <c r="K111" s="988">
        <v>51086</v>
      </c>
      <c r="L111" s="988"/>
      <c r="M111" s="988"/>
      <c r="N111" s="988"/>
      <c r="O111" s="988"/>
      <c r="P111" s="988"/>
      <c r="Q111" s="988"/>
      <c r="R111" s="988"/>
      <c r="S111" s="988"/>
      <c r="T111" s="988"/>
      <c r="U111" s="988"/>
      <c r="V111" s="981">
        <v>0.56000000000000005</v>
      </c>
      <c r="W111" s="983">
        <v>50000</v>
      </c>
      <c r="Z111" s="899">
        <v>32366</v>
      </c>
      <c r="AA111" s="899"/>
      <c r="AB111" s="899"/>
    </row>
    <row r="112" spans="1:28" ht="14.25" hidden="1" customHeight="1" x14ac:dyDescent="0.2">
      <c r="A112" s="978">
        <v>1</v>
      </c>
      <c r="B112" s="979" t="s">
        <v>1123</v>
      </c>
      <c r="C112" s="979" t="s">
        <v>1384</v>
      </c>
      <c r="D112" s="980">
        <v>2049048</v>
      </c>
      <c r="E112" s="980">
        <v>996000</v>
      </c>
      <c r="F112" s="979" t="s">
        <v>425</v>
      </c>
      <c r="G112" s="979" t="s">
        <v>425</v>
      </c>
      <c r="H112" s="981">
        <v>0.16</v>
      </c>
      <c r="I112" s="988">
        <v>10518</v>
      </c>
      <c r="J112" s="981">
        <v>0.16</v>
      </c>
      <c r="K112" s="988">
        <v>10518</v>
      </c>
      <c r="L112" s="988"/>
      <c r="M112" s="988"/>
      <c r="N112" s="988"/>
      <c r="O112" s="988"/>
      <c r="P112" s="988"/>
      <c r="Q112" s="988"/>
      <c r="R112" s="988"/>
      <c r="S112" s="988"/>
      <c r="T112" s="988"/>
      <c r="U112" s="988"/>
      <c r="V112" s="981">
        <v>0.16</v>
      </c>
      <c r="W112" s="983">
        <v>15000</v>
      </c>
      <c r="Z112" s="899">
        <v>13521</v>
      </c>
      <c r="AA112" s="899"/>
      <c r="AB112" s="899"/>
    </row>
    <row r="113" spans="1:28" ht="14.25" hidden="1" customHeight="1" x14ac:dyDescent="0.2">
      <c r="A113" s="978">
        <v>1</v>
      </c>
      <c r="B113" s="979" t="s">
        <v>924</v>
      </c>
      <c r="C113" s="979" t="s">
        <v>1115</v>
      </c>
      <c r="D113" s="980">
        <v>2049080</v>
      </c>
      <c r="E113" s="980">
        <v>996000</v>
      </c>
      <c r="F113" s="979" t="s">
        <v>425</v>
      </c>
      <c r="G113" s="979" t="s">
        <v>425</v>
      </c>
      <c r="H113" s="981">
        <v>0.39700000000000002</v>
      </c>
      <c r="I113" s="988">
        <v>42701</v>
      </c>
      <c r="J113" s="981">
        <v>0.39700000000000002</v>
      </c>
      <c r="K113" s="988">
        <v>42701</v>
      </c>
      <c r="L113" s="988"/>
      <c r="M113" s="988"/>
      <c r="N113" s="988"/>
      <c r="O113" s="988"/>
      <c r="P113" s="988"/>
      <c r="Q113" s="988"/>
      <c r="R113" s="988"/>
      <c r="S113" s="988"/>
      <c r="T113" s="988"/>
      <c r="U113" s="988"/>
      <c r="V113" s="981">
        <v>0.39700000000000002</v>
      </c>
      <c r="W113" s="983">
        <v>42000</v>
      </c>
      <c r="Z113" s="899">
        <v>175355</v>
      </c>
      <c r="AA113" s="899"/>
      <c r="AB113" s="899"/>
    </row>
    <row r="114" spans="1:28" ht="14.25" hidden="1" customHeight="1" x14ac:dyDescent="0.2">
      <c r="A114" s="978">
        <v>1</v>
      </c>
      <c r="B114" s="979" t="s">
        <v>1050</v>
      </c>
      <c r="C114" s="979" t="s">
        <v>1101</v>
      </c>
      <c r="D114" s="980">
        <v>2072913</v>
      </c>
      <c r="E114" s="980">
        <v>996000</v>
      </c>
      <c r="F114" s="979" t="s">
        <v>425</v>
      </c>
      <c r="G114" s="979" t="s">
        <v>425</v>
      </c>
      <c r="H114" s="981">
        <v>0.23</v>
      </c>
      <c r="I114" s="988">
        <v>15787</v>
      </c>
      <c r="J114" s="981">
        <v>0.23</v>
      </c>
      <c r="K114" s="988">
        <v>15787</v>
      </c>
      <c r="L114" s="988"/>
      <c r="M114" s="988"/>
      <c r="N114" s="988"/>
      <c r="O114" s="988"/>
      <c r="P114" s="988"/>
      <c r="Q114" s="988"/>
      <c r="R114" s="988"/>
      <c r="S114" s="988"/>
      <c r="T114" s="988"/>
      <c r="U114" s="988"/>
      <c r="V114" s="981">
        <v>0.23</v>
      </c>
      <c r="W114" s="983">
        <v>27000</v>
      </c>
      <c r="Z114" s="899">
        <v>13072</v>
      </c>
      <c r="AA114" s="899"/>
      <c r="AB114" s="899"/>
    </row>
    <row r="115" spans="1:28" ht="14.25" hidden="1" customHeight="1" x14ac:dyDescent="0.2">
      <c r="A115" s="978">
        <v>1</v>
      </c>
      <c r="B115" s="979" t="s">
        <v>958</v>
      </c>
      <c r="C115" s="979" t="s">
        <v>1096</v>
      </c>
      <c r="D115" s="980">
        <v>2104122</v>
      </c>
      <c r="E115" s="980">
        <v>996000</v>
      </c>
      <c r="F115" s="979" t="s">
        <v>425</v>
      </c>
      <c r="G115" s="979" t="s">
        <v>425</v>
      </c>
      <c r="H115" s="981">
        <v>0.24</v>
      </c>
      <c r="I115" s="988">
        <v>21232</v>
      </c>
      <c r="J115" s="981">
        <v>0.24</v>
      </c>
      <c r="K115" s="988">
        <v>21232</v>
      </c>
      <c r="L115" s="988"/>
      <c r="M115" s="988"/>
      <c r="N115" s="988"/>
      <c r="O115" s="988"/>
      <c r="P115" s="988"/>
      <c r="Q115" s="988"/>
      <c r="R115" s="988"/>
      <c r="S115" s="988"/>
      <c r="T115" s="988"/>
      <c r="U115" s="988"/>
      <c r="V115" s="981">
        <v>0.24</v>
      </c>
      <c r="W115" s="983">
        <v>21000</v>
      </c>
      <c r="Z115" s="899">
        <v>57444</v>
      </c>
      <c r="AA115" s="899"/>
      <c r="AB115" s="899"/>
    </row>
    <row r="116" spans="1:28" ht="14.25" hidden="1" customHeight="1" x14ac:dyDescent="0.2">
      <c r="A116" s="978">
        <v>1</v>
      </c>
      <c r="B116" s="979" t="s">
        <v>943</v>
      </c>
      <c r="C116" s="979" t="s">
        <v>1118</v>
      </c>
      <c r="D116" s="980">
        <v>2114913</v>
      </c>
      <c r="E116" s="980">
        <v>996000</v>
      </c>
      <c r="F116" s="979" t="s">
        <v>425</v>
      </c>
      <c r="G116" s="979" t="s">
        <v>425</v>
      </c>
      <c r="H116" s="981">
        <v>0.26200000000000001</v>
      </c>
      <c r="I116" s="988">
        <v>19797</v>
      </c>
      <c r="J116" s="981">
        <v>0.26200000000000001</v>
      </c>
      <c r="K116" s="988">
        <v>19797</v>
      </c>
      <c r="L116" s="988"/>
      <c r="M116" s="988"/>
      <c r="N116" s="988"/>
      <c r="O116" s="988"/>
      <c r="P116" s="988"/>
      <c r="Q116" s="988"/>
      <c r="R116" s="988"/>
      <c r="S116" s="988"/>
      <c r="T116" s="988"/>
      <c r="U116" s="988"/>
      <c r="V116" s="981">
        <v>0.26200000000000001</v>
      </c>
      <c r="W116" s="983">
        <v>22000</v>
      </c>
      <c r="Z116" s="899">
        <v>9636</v>
      </c>
      <c r="AA116" s="899"/>
      <c r="AB116" s="899"/>
    </row>
    <row r="117" spans="1:28" ht="14.25" hidden="1" customHeight="1" x14ac:dyDescent="0.2">
      <c r="A117" s="978">
        <v>1</v>
      </c>
      <c r="B117" s="979" t="s">
        <v>948</v>
      </c>
      <c r="C117" s="979" t="s">
        <v>1006</v>
      </c>
      <c r="D117" s="980">
        <v>2346198</v>
      </c>
      <c r="E117" s="980">
        <v>996000</v>
      </c>
      <c r="F117" s="979" t="s">
        <v>425</v>
      </c>
      <c r="G117" s="979" t="s">
        <v>425</v>
      </c>
      <c r="H117" s="981">
        <v>0.5</v>
      </c>
      <c r="I117" s="982">
        <v>111862</v>
      </c>
      <c r="J117" s="981">
        <v>0.5</v>
      </c>
      <c r="K117" s="982">
        <v>111862</v>
      </c>
      <c r="L117" s="982"/>
      <c r="M117" s="982"/>
      <c r="N117" s="982"/>
      <c r="O117" s="982"/>
      <c r="P117" s="982"/>
      <c r="Q117" s="982"/>
      <c r="R117" s="982"/>
      <c r="S117" s="982"/>
      <c r="T117" s="982"/>
      <c r="U117" s="982"/>
      <c r="V117" s="981">
        <v>0.5</v>
      </c>
      <c r="W117" s="983">
        <v>42000</v>
      </c>
      <c r="Z117" s="899">
        <v>27980</v>
      </c>
      <c r="AA117" s="899"/>
      <c r="AB117" s="899"/>
    </row>
    <row r="118" spans="1:28" ht="14.25" hidden="1" customHeight="1" x14ac:dyDescent="0.2">
      <c r="A118" s="978">
        <v>1</v>
      </c>
      <c r="B118" s="979" t="s">
        <v>1098</v>
      </c>
      <c r="C118" s="979" t="s">
        <v>1100</v>
      </c>
      <c r="D118" s="980">
        <v>3529446</v>
      </c>
      <c r="E118" s="980">
        <v>996000</v>
      </c>
      <c r="F118" s="979" t="s">
        <v>425</v>
      </c>
      <c r="G118" s="979" t="s">
        <v>425</v>
      </c>
      <c r="H118" s="981">
        <v>0.32</v>
      </c>
      <c r="I118" s="988">
        <v>24046</v>
      </c>
      <c r="J118" s="981">
        <v>0.32</v>
      </c>
      <c r="K118" s="988">
        <v>24046</v>
      </c>
      <c r="L118" s="988"/>
      <c r="M118" s="988"/>
      <c r="N118" s="988"/>
      <c r="O118" s="988"/>
      <c r="P118" s="988"/>
      <c r="Q118" s="988"/>
      <c r="R118" s="988"/>
      <c r="S118" s="988"/>
      <c r="T118" s="988"/>
      <c r="U118" s="988"/>
      <c r="V118" s="981">
        <v>0.32</v>
      </c>
      <c r="W118" s="983">
        <v>24000</v>
      </c>
      <c r="Z118" s="899">
        <v>15211</v>
      </c>
      <c r="AA118" s="899"/>
      <c r="AB118" s="899"/>
    </row>
    <row r="119" spans="1:28" ht="14.25" hidden="1" customHeight="1" x14ac:dyDescent="0.2">
      <c r="A119" s="978">
        <v>1</v>
      </c>
      <c r="B119" s="979" t="s">
        <v>958</v>
      </c>
      <c r="C119" s="979" t="s">
        <v>1097</v>
      </c>
      <c r="D119" s="980">
        <v>3532972</v>
      </c>
      <c r="E119" s="980">
        <v>996000</v>
      </c>
      <c r="F119" s="979" t="s">
        <v>425</v>
      </c>
      <c r="G119" s="979" t="s">
        <v>425</v>
      </c>
      <c r="H119" s="981">
        <v>0.7</v>
      </c>
      <c r="I119" s="988">
        <v>169405</v>
      </c>
      <c r="J119" s="981">
        <v>0.7</v>
      </c>
      <c r="K119" s="988">
        <v>169405</v>
      </c>
      <c r="L119" s="988"/>
      <c r="M119" s="988"/>
      <c r="N119" s="988"/>
      <c r="O119" s="988"/>
      <c r="P119" s="988"/>
      <c r="Q119" s="988"/>
      <c r="R119" s="988"/>
      <c r="S119" s="988"/>
      <c r="T119" s="988"/>
      <c r="U119" s="988"/>
      <c r="V119" s="981">
        <v>0.7</v>
      </c>
      <c r="W119" s="983">
        <v>170000</v>
      </c>
      <c r="Z119" s="899">
        <v>58316</v>
      </c>
      <c r="AA119" s="899"/>
      <c r="AB119" s="899"/>
    </row>
    <row r="120" spans="1:28" ht="14.25" hidden="1" customHeight="1" x14ac:dyDescent="0.2">
      <c r="A120" s="978">
        <v>1</v>
      </c>
      <c r="B120" s="979" t="s">
        <v>975</v>
      </c>
      <c r="C120" s="979" t="s">
        <v>1122</v>
      </c>
      <c r="D120" s="980">
        <v>3533437</v>
      </c>
      <c r="E120" s="980">
        <v>996000</v>
      </c>
      <c r="F120" s="979" t="s">
        <v>425</v>
      </c>
      <c r="G120" s="979" t="s">
        <v>425</v>
      </c>
      <c r="H120" s="981">
        <v>0.433</v>
      </c>
      <c r="I120" s="988">
        <v>62384</v>
      </c>
      <c r="J120" s="981">
        <v>0.433</v>
      </c>
      <c r="K120" s="988">
        <v>62384</v>
      </c>
      <c r="L120" s="988"/>
      <c r="M120" s="988"/>
      <c r="N120" s="988"/>
      <c r="O120" s="988"/>
      <c r="P120" s="988"/>
      <c r="Q120" s="988"/>
      <c r="R120" s="988"/>
      <c r="S120" s="988"/>
      <c r="T120" s="988"/>
      <c r="U120" s="988"/>
      <c r="V120" s="981">
        <v>0.433</v>
      </c>
      <c r="W120" s="983">
        <v>62000</v>
      </c>
      <c r="Z120" s="899">
        <v>22419</v>
      </c>
      <c r="AA120" s="899"/>
      <c r="AB120" s="899"/>
    </row>
    <row r="121" spans="1:28" ht="14.25" hidden="1" customHeight="1" x14ac:dyDescent="0.2">
      <c r="A121" s="978">
        <v>1</v>
      </c>
      <c r="B121" s="979" t="s">
        <v>1135</v>
      </c>
      <c r="C121" s="979" t="s">
        <v>1136</v>
      </c>
      <c r="D121" s="980">
        <v>3547802</v>
      </c>
      <c r="E121" s="980">
        <v>996000</v>
      </c>
      <c r="F121" s="979" t="s">
        <v>425</v>
      </c>
      <c r="G121" s="979" t="s">
        <v>425</v>
      </c>
      <c r="H121" s="981">
        <v>0.33100000000000002</v>
      </c>
      <c r="I121" s="988">
        <v>29426</v>
      </c>
      <c r="J121" s="981">
        <v>0.33100000000000002</v>
      </c>
      <c r="K121" s="988">
        <v>29426</v>
      </c>
      <c r="L121" s="988"/>
      <c r="M121" s="988"/>
      <c r="N121" s="988"/>
      <c r="O121" s="988"/>
      <c r="P121" s="988"/>
      <c r="Q121" s="988"/>
      <c r="R121" s="988"/>
      <c r="S121" s="988"/>
      <c r="T121" s="988"/>
      <c r="U121" s="988"/>
      <c r="V121" s="981">
        <v>0.33100000000000002</v>
      </c>
      <c r="W121" s="983">
        <v>29000</v>
      </c>
      <c r="Z121" s="899">
        <v>21933</v>
      </c>
      <c r="AA121" s="899"/>
      <c r="AB121" s="899"/>
    </row>
    <row r="122" spans="1:28" ht="14.25" hidden="1" customHeight="1" x14ac:dyDescent="0.2">
      <c r="A122" s="978">
        <v>1</v>
      </c>
      <c r="B122" s="979" t="s">
        <v>1071</v>
      </c>
      <c r="C122" s="979" t="s">
        <v>1077</v>
      </c>
      <c r="D122" s="980">
        <v>5043571</v>
      </c>
      <c r="E122" s="980">
        <v>996000</v>
      </c>
      <c r="F122" s="979" t="s">
        <v>425</v>
      </c>
      <c r="G122" s="979" t="s">
        <v>425</v>
      </c>
      <c r="H122" s="981">
        <v>0</v>
      </c>
      <c r="I122" s="983">
        <v>0</v>
      </c>
      <c r="J122" s="981">
        <v>0.6</v>
      </c>
      <c r="K122" s="983">
        <v>0</v>
      </c>
      <c r="L122" s="983"/>
      <c r="M122" s="983"/>
      <c r="N122" s="983"/>
      <c r="O122" s="983"/>
      <c r="P122" s="983"/>
      <c r="Q122" s="983"/>
      <c r="R122" s="983"/>
      <c r="S122" s="983"/>
      <c r="T122" s="983"/>
      <c r="U122" s="983"/>
      <c r="V122" s="981">
        <v>0.6</v>
      </c>
      <c r="W122" s="983">
        <v>35000</v>
      </c>
      <c r="Z122" s="899">
        <v>45818</v>
      </c>
      <c r="AA122" s="899"/>
      <c r="AB122" s="899"/>
    </row>
    <row r="123" spans="1:28" ht="14.25" hidden="1" customHeight="1" x14ac:dyDescent="0.2">
      <c r="A123" s="978">
        <v>1</v>
      </c>
      <c r="B123" s="979" t="s">
        <v>1137</v>
      </c>
      <c r="C123" s="979" t="s">
        <v>1138</v>
      </c>
      <c r="D123" s="980">
        <v>5049194</v>
      </c>
      <c r="E123" s="980">
        <v>996000</v>
      </c>
      <c r="F123" s="979" t="s">
        <v>425</v>
      </c>
      <c r="G123" s="979" t="s">
        <v>425</v>
      </c>
      <c r="H123" s="981">
        <v>0.4</v>
      </c>
      <c r="I123" s="988">
        <v>66172</v>
      </c>
      <c r="J123" s="981">
        <v>0.4</v>
      </c>
      <c r="K123" s="988">
        <v>66172</v>
      </c>
      <c r="L123" s="988"/>
      <c r="M123" s="988"/>
      <c r="N123" s="988"/>
      <c r="O123" s="988"/>
      <c r="P123" s="988"/>
      <c r="Q123" s="988"/>
      <c r="R123" s="988"/>
      <c r="S123" s="988"/>
      <c r="T123" s="988"/>
      <c r="U123" s="988"/>
      <c r="V123" s="981">
        <v>0.4</v>
      </c>
      <c r="W123" s="983">
        <v>66000</v>
      </c>
      <c r="Z123" s="899">
        <v>47208</v>
      </c>
      <c r="AA123" s="899"/>
      <c r="AB123" s="899"/>
    </row>
    <row r="124" spans="1:28" ht="14.25" hidden="1" customHeight="1" x14ac:dyDescent="0.2">
      <c r="A124" s="978">
        <v>1</v>
      </c>
      <c r="B124" s="979" t="s">
        <v>990</v>
      </c>
      <c r="C124" s="979" t="s">
        <v>1091</v>
      </c>
      <c r="D124" s="980">
        <v>5078583</v>
      </c>
      <c r="E124" s="980">
        <v>996000</v>
      </c>
      <c r="F124" s="979" t="s">
        <v>425</v>
      </c>
      <c r="G124" s="979" t="s">
        <v>425</v>
      </c>
      <c r="H124" s="981">
        <v>0.65</v>
      </c>
      <c r="I124" s="988">
        <v>43319</v>
      </c>
      <c r="J124" s="981">
        <v>0.65</v>
      </c>
      <c r="K124" s="988">
        <v>43319</v>
      </c>
      <c r="L124" s="988"/>
      <c r="M124" s="988"/>
      <c r="N124" s="988"/>
      <c r="O124" s="988"/>
      <c r="P124" s="988"/>
      <c r="Q124" s="988"/>
      <c r="R124" s="988"/>
      <c r="S124" s="988"/>
      <c r="T124" s="988"/>
      <c r="U124" s="988"/>
      <c r="V124" s="981">
        <v>0.65</v>
      </c>
      <c r="W124" s="983">
        <v>44000</v>
      </c>
      <c r="Z124" s="899">
        <v>19899</v>
      </c>
      <c r="AA124" s="899"/>
      <c r="AB124" s="899"/>
    </row>
    <row r="125" spans="1:28" ht="14.25" hidden="1" customHeight="1" x14ac:dyDescent="0.2">
      <c r="A125" s="978">
        <v>1</v>
      </c>
      <c r="B125" s="979" t="s">
        <v>1400</v>
      </c>
      <c r="C125" s="979" t="s">
        <v>1401</v>
      </c>
      <c r="D125" s="980">
        <v>5078925</v>
      </c>
      <c r="E125" s="980">
        <v>996000</v>
      </c>
      <c r="F125" s="979" t="s">
        <v>425</v>
      </c>
      <c r="G125" s="979" t="s">
        <v>425</v>
      </c>
      <c r="H125" s="981">
        <v>0</v>
      </c>
      <c r="I125" s="983">
        <v>0</v>
      </c>
      <c r="J125" s="981">
        <v>0.43</v>
      </c>
      <c r="K125" s="983">
        <v>0</v>
      </c>
      <c r="L125" s="983"/>
      <c r="M125" s="983"/>
      <c r="N125" s="983"/>
      <c r="O125" s="983"/>
      <c r="P125" s="983"/>
      <c r="Q125" s="983"/>
      <c r="R125" s="983"/>
      <c r="S125" s="983"/>
      <c r="T125" s="983"/>
      <c r="U125" s="983"/>
      <c r="V125" s="981">
        <v>0.43</v>
      </c>
      <c r="W125" s="983">
        <v>30000</v>
      </c>
      <c r="Z125" s="899">
        <v>18200</v>
      </c>
      <c r="AA125" s="899"/>
      <c r="AB125" s="899"/>
    </row>
    <row r="126" spans="1:28" ht="14.25" hidden="1" customHeight="1" x14ac:dyDescent="0.2">
      <c r="A126" s="978">
        <v>1</v>
      </c>
      <c r="B126" s="979" t="s">
        <v>1018</v>
      </c>
      <c r="C126" s="979" t="s">
        <v>979</v>
      </c>
      <c r="D126" s="980">
        <v>5091186</v>
      </c>
      <c r="E126" s="980">
        <v>996000</v>
      </c>
      <c r="F126" s="979" t="s">
        <v>425</v>
      </c>
      <c r="G126" s="979" t="s">
        <v>425</v>
      </c>
      <c r="H126" s="981">
        <v>0.13</v>
      </c>
      <c r="I126" s="982">
        <v>2733</v>
      </c>
      <c r="J126" s="981">
        <v>0.13</v>
      </c>
      <c r="K126" s="982">
        <v>2733</v>
      </c>
      <c r="L126" s="982"/>
      <c r="M126" s="982"/>
      <c r="N126" s="982"/>
      <c r="O126" s="982"/>
      <c r="P126" s="982"/>
      <c r="Q126" s="982"/>
      <c r="R126" s="982"/>
      <c r="S126" s="982"/>
      <c r="T126" s="982"/>
      <c r="U126" s="982"/>
      <c r="V126" s="981">
        <v>0.13</v>
      </c>
      <c r="W126" s="983">
        <v>0</v>
      </c>
      <c r="Z126" s="899">
        <v>22026</v>
      </c>
      <c r="AA126" s="899"/>
      <c r="AB126" s="899"/>
    </row>
    <row r="127" spans="1:28" ht="14.25" hidden="1" customHeight="1" x14ac:dyDescent="0.2">
      <c r="A127" s="978">
        <v>1</v>
      </c>
      <c r="B127" s="979" t="s">
        <v>928</v>
      </c>
      <c r="C127" s="979" t="s">
        <v>1385</v>
      </c>
      <c r="D127" s="980">
        <v>5243431</v>
      </c>
      <c r="E127" s="980">
        <v>996000</v>
      </c>
      <c r="F127" s="979" t="s">
        <v>425</v>
      </c>
      <c r="G127" s="979" t="s">
        <v>425</v>
      </c>
      <c r="H127" s="981">
        <v>0.09</v>
      </c>
      <c r="I127" s="988">
        <v>5677</v>
      </c>
      <c r="J127" s="981">
        <v>0.09</v>
      </c>
      <c r="K127" s="988">
        <v>5677</v>
      </c>
      <c r="L127" s="988"/>
      <c r="M127" s="988"/>
      <c r="N127" s="988"/>
      <c r="O127" s="988"/>
      <c r="P127" s="988"/>
      <c r="Q127" s="988"/>
      <c r="R127" s="988"/>
      <c r="S127" s="988"/>
      <c r="T127" s="988"/>
      <c r="U127" s="988"/>
      <c r="V127" s="981">
        <v>0.09</v>
      </c>
      <c r="W127" s="983">
        <v>18000</v>
      </c>
      <c r="Z127" s="899">
        <v>27291</v>
      </c>
      <c r="AA127" s="899"/>
      <c r="AB127" s="899"/>
    </row>
    <row r="128" spans="1:28" ht="14.25" hidden="1" customHeight="1" x14ac:dyDescent="0.2">
      <c r="A128" s="978">
        <v>1</v>
      </c>
      <c r="B128" s="979" t="s">
        <v>987</v>
      </c>
      <c r="C128" s="979" t="s">
        <v>1133</v>
      </c>
      <c r="D128" s="980">
        <v>5250811</v>
      </c>
      <c r="E128" s="980">
        <v>996000</v>
      </c>
      <c r="F128" s="979" t="s">
        <v>425</v>
      </c>
      <c r="G128" s="979" t="s">
        <v>425</v>
      </c>
      <c r="H128" s="981">
        <v>0.26800000000000002</v>
      </c>
      <c r="I128" s="988">
        <v>19691</v>
      </c>
      <c r="J128" s="981">
        <v>0.26800000000000002</v>
      </c>
      <c r="K128" s="988">
        <v>19691</v>
      </c>
      <c r="L128" s="988"/>
      <c r="M128" s="988"/>
      <c r="N128" s="988"/>
      <c r="O128" s="988"/>
      <c r="P128" s="988"/>
      <c r="Q128" s="988"/>
      <c r="R128" s="988"/>
      <c r="S128" s="988"/>
      <c r="T128" s="988"/>
      <c r="U128" s="988"/>
      <c r="V128" s="981">
        <v>0.26800000000000002</v>
      </c>
      <c r="W128" s="983">
        <v>20000</v>
      </c>
      <c r="Z128" s="899">
        <v>60931</v>
      </c>
      <c r="AA128" s="899"/>
      <c r="AB128" s="899"/>
    </row>
    <row r="129" spans="1:28" ht="14.25" hidden="1" customHeight="1" x14ac:dyDescent="0.2">
      <c r="A129" s="978">
        <v>1</v>
      </c>
      <c r="B129" s="979" t="s">
        <v>982</v>
      </c>
      <c r="C129" s="979" t="s">
        <v>990</v>
      </c>
      <c r="D129" s="980">
        <v>5250845</v>
      </c>
      <c r="E129" s="980">
        <v>996000</v>
      </c>
      <c r="F129" s="979" t="s">
        <v>425</v>
      </c>
      <c r="G129" s="979" t="s">
        <v>425</v>
      </c>
      <c r="H129" s="981">
        <v>0</v>
      </c>
      <c r="I129" s="983">
        <v>0</v>
      </c>
      <c r="J129" s="981">
        <v>0.33</v>
      </c>
      <c r="K129" s="983">
        <f>17955+18000</f>
        <v>35955</v>
      </c>
      <c r="L129" s="983"/>
      <c r="M129" s="983"/>
      <c r="N129" s="983"/>
      <c r="O129" s="983"/>
      <c r="P129" s="983"/>
      <c r="Q129" s="983"/>
      <c r="R129" s="983"/>
      <c r="S129" s="983"/>
      <c r="T129" s="983"/>
      <c r="U129" s="983"/>
      <c r="V129" s="981">
        <v>0.33</v>
      </c>
      <c r="W129" s="983">
        <v>45000</v>
      </c>
      <c r="Z129" s="899">
        <v>82116</v>
      </c>
      <c r="AA129" s="899"/>
      <c r="AB129" s="899"/>
    </row>
    <row r="130" spans="1:28" ht="14.25" hidden="1" customHeight="1" x14ac:dyDescent="0.2">
      <c r="A130" s="978">
        <v>1</v>
      </c>
      <c r="B130" s="979" t="s">
        <v>987</v>
      </c>
      <c r="C130" s="979" t="s">
        <v>1388</v>
      </c>
      <c r="D130" s="980">
        <v>5251624</v>
      </c>
      <c r="E130" s="980">
        <v>996000</v>
      </c>
      <c r="F130" s="979" t="s">
        <v>425</v>
      </c>
      <c r="G130" s="979" t="s">
        <v>425</v>
      </c>
      <c r="H130" s="981">
        <v>0.24</v>
      </c>
      <c r="I130" s="982">
        <v>16823</v>
      </c>
      <c r="J130" s="981">
        <v>0.24</v>
      </c>
      <c r="K130" s="982">
        <v>16823</v>
      </c>
      <c r="L130" s="982"/>
      <c r="M130" s="982"/>
      <c r="N130" s="982"/>
      <c r="O130" s="982"/>
      <c r="P130" s="982"/>
      <c r="Q130" s="982"/>
      <c r="R130" s="982"/>
      <c r="S130" s="982"/>
      <c r="T130" s="982"/>
      <c r="U130" s="982"/>
      <c r="V130" s="981">
        <v>0.24</v>
      </c>
      <c r="W130" s="983">
        <v>30000</v>
      </c>
      <c r="Z130" s="899">
        <v>5249</v>
      </c>
      <c r="AA130" s="899"/>
      <c r="AB130" s="899"/>
    </row>
    <row r="131" spans="1:28" ht="14.25" hidden="1" customHeight="1" x14ac:dyDescent="0.2">
      <c r="A131" s="978">
        <v>1</v>
      </c>
      <c r="B131" s="979" t="s">
        <v>928</v>
      </c>
      <c r="C131" s="979" t="s">
        <v>1071</v>
      </c>
      <c r="D131" s="980">
        <v>5440423</v>
      </c>
      <c r="E131" s="980">
        <v>996000</v>
      </c>
      <c r="F131" s="979" t="s">
        <v>425</v>
      </c>
      <c r="G131" s="979" t="s">
        <v>425</v>
      </c>
      <c r="H131" s="981">
        <v>0.63400000000000001</v>
      </c>
      <c r="I131" s="988">
        <v>64825</v>
      </c>
      <c r="J131" s="981">
        <v>0.63400000000000001</v>
      </c>
      <c r="K131" s="988">
        <v>64825</v>
      </c>
      <c r="L131" s="988"/>
      <c r="M131" s="988"/>
      <c r="N131" s="988"/>
      <c r="O131" s="988"/>
      <c r="P131" s="988"/>
      <c r="Q131" s="988"/>
      <c r="R131" s="988"/>
      <c r="S131" s="988"/>
      <c r="T131" s="988"/>
      <c r="U131" s="988"/>
      <c r="V131" s="981">
        <v>0.63400000000000001</v>
      </c>
      <c r="W131" s="983">
        <v>63000</v>
      </c>
      <c r="Z131" s="899"/>
      <c r="AA131" s="899"/>
      <c r="AB131" s="899"/>
    </row>
    <row r="132" spans="1:28" ht="14.25" hidden="1" customHeight="1" x14ac:dyDescent="0.2">
      <c r="A132" s="978">
        <v>1</v>
      </c>
      <c r="B132" s="979" t="s">
        <v>1022</v>
      </c>
      <c r="C132" s="979" t="s">
        <v>924</v>
      </c>
      <c r="D132" s="980">
        <v>5443083</v>
      </c>
      <c r="E132" s="980">
        <v>996000</v>
      </c>
      <c r="F132" s="979" t="s">
        <v>425</v>
      </c>
      <c r="G132" s="979" t="s">
        <v>425</v>
      </c>
      <c r="H132" s="981">
        <v>0</v>
      </c>
      <c r="I132" s="983">
        <v>0</v>
      </c>
      <c r="J132" s="981">
        <v>0.53</v>
      </c>
      <c r="K132" s="983">
        <f>134058+35000</f>
        <v>169058</v>
      </c>
      <c r="L132" s="983"/>
      <c r="M132" s="983"/>
      <c r="N132" s="983"/>
      <c r="O132" s="983"/>
      <c r="P132" s="983"/>
      <c r="Q132" s="983"/>
      <c r="R132" s="983"/>
      <c r="S132" s="983"/>
      <c r="T132" s="983"/>
      <c r="U132" s="983"/>
      <c r="V132" s="981">
        <v>0.53</v>
      </c>
      <c r="W132" s="983">
        <v>60000</v>
      </c>
      <c r="Z132" s="899">
        <v>55153</v>
      </c>
      <c r="AA132" s="899"/>
      <c r="AB132" s="899"/>
    </row>
    <row r="133" spans="1:28" ht="14.25" hidden="1" customHeight="1" x14ac:dyDescent="0.2">
      <c r="A133" s="978">
        <v>1</v>
      </c>
      <c r="B133" s="979" t="s">
        <v>983</v>
      </c>
      <c r="C133" s="979" t="s">
        <v>1106</v>
      </c>
      <c r="D133" s="980">
        <v>5481949</v>
      </c>
      <c r="E133" s="980">
        <v>996000</v>
      </c>
      <c r="F133" s="979" t="s">
        <v>425</v>
      </c>
      <c r="G133" s="979" t="s">
        <v>425</v>
      </c>
      <c r="H133" s="981">
        <v>0.65500000000000003</v>
      </c>
      <c r="I133" s="988">
        <v>79086</v>
      </c>
      <c r="J133" s="981">
        <v>0.65500000000000003</v>
      </c>
      <c r="K133" s="988">
        <v>79086</v>
      </c>
      <c r="L133" s="988"/>
      <c r="M133" s="988"/>
      <c r="N133" s="988"/>
      <c r="O133" s="988"/>
      <c r="P133" s="988"/>
      <c r="Q133" s="988"/>
      <c r="R133" s="988"/>
      <c r="S133" s="988"/>
      <c r="T133" s="988"/>
      <c r="U133" s="988"/>
      <c r="V133" s="981">
        <v>0.65500000000000003</v>
      </c>
      <c r="W133" s="983">
        <v>78000</v>
      </c>
      <c r="Z133" s="899">
        <v>75634</v>
      </c>
      <c r="AA133" s="899"/>
      <c r="AB133" s="899"/>
    </row>
    <row r="134" spans="1:28" ht="14.25" hidden="1" customHeight="1" x14ac:dyDescent="0.2">
      <c r="A134" s="978">
        <v>1</v>
      </c>
      <c r="B134" s="979" t="s">
        <v>1127</v>
      </c>
      <c r="C134" s="979" t="s">
        <v>1129</v>
      </c>
      <c r="D134" s="980">
        <v>5515856</v>
      </c>
      <c r="E134" s="980">
        <v>996000</v>
      </c>
      <c r="F134" s="979" t="s">
        <v>425</v>
      </c>
      <c r="G134" s="979" t="s">
        <v>425</v>
      </c>
      <c r="H134" s="981">
        <v>0.61599999999999999</v>
      </c>
      <c r="I134" s="988">
        <v>62887</v>
      </c>
      <c r="J134" s="981">
        <v>0.61599999999999999</v>
      </c>
      <c r="K134" s="988">
        <v>62887</v>
      </c>
      <c r="L134" s="988"/>
      <c r="M134" s="988"/>
      <c r="N134" s="988"/>
      <c r="O134" s="988"/>
      <c r="P134" s="988"/>
      <c r="Q134" s="988"/>
      <c r="R134" s="988"/>
      <c r="S134" s="988"/>
      <c r="T134" s="988"/>
      <c r="U134" s="988"/>
      <c r="V134" s="981">
        <v>0.61599999999999999</v>
      </c>
      <c r="W134" s="983">
        <v>62000</v>
      </c>
      <c r="X134" s="471"/>
      <c r="Z134" s="899">
        <v>40557</v>
      </c>
      <c r="AA134" s="899"/>
      <c r="AB134" s="899"/>
    </row>
    <row r="135" spans="1:28" ht="14.25" hidden="1" customHeight="1" x14ac:dyDescent="0.2">
      <c r="A135" s="978">
        <v>1</v>
      </c>
      <c r="B135" s="979" t="s">
        <v>928</v>
      </c>
      <c r="C135" s="979" t="s">
        <v>1140</v>
      </c>
      <c r="D135" s="980">
        <v>5515992</v>
      </c>
      <c r="E135" s="980">
        <v>996000</v>
      </c>
      <c r="F135" s="979" t="s">
        <v>425</v>
      </c>
      <c r="G135" s="979" t="s">
        <v>425</v>
      </c>
      <c r="H135" s="981">
        <v>0.308</v>
      </c>
      <c r="I135" s="988">
        <v>59967</v>
      </c>
      <c r="J135" s="981">
        <v>0.308</v>
      </c>
      <c r="K135" s="988">
        <v>59967</v>
      </c>
      <c r="L135" s="988"/>
      <c r="M135" s="988"/>
      <c r="N135" s="988"/>
      <c r="O135" s="988"/>
      <c r="P135" s="988"/>
      <c r="Q135" s="988"/>
      <c r="R135" s="988"/>
      <c r="S135" s="988"/>
      <c r="T135" s="988"/>
      <c r="U135" s="988"/>
      <c r="V135" s="981">
        <v>0.308</v>
      </c>
      <c r="W135" s="983">
        <v>56000</v>
      </c>
      <c r="X135" s="471"/>
      <c r="Z135" s="899">
        <v>27280</v>
      </c>
      <c r="AA135" s="899"/>
      <c r="AB135" s="899"/>
    </row>
    <row r="136" spans="1:28" ht="14.25" hidden="1" customHeight="1" x14ac:dyDescent="0.2">
      <c r="A136" s="978">
        <v>1</v>
      </c>
      <c r="B136" s="979" t="s">
        <v>1329</v>
      </c>
      <c r="C136" s="979" t="s">
        <v>1386</v>
      </c>
      <c r="D136" s="980">
        <v>5575110</v>
      </c>
      <c r="E136" s="980">
        <v>996000</v>
      </c>
      <c r="F136" s="979" t="s">
        <v>425</v>
      </c>
      <c r="G136" s="979" t="s">
        <v>425</v>
      </c>
      <c r="H136" s="981">
        <v>0.13</v>
      </c>
      <c r="I136" s="982">
        <v>9238</v>
      </c>
      <c r="J136" s="981">
        <v>0.13</v>
      </c>
      <c r="K136" s="982">
        <v>9238</v>
      </c>
      <c r="L136" s="982"/>
      <c r="M136" s="982"/>
      <c r="N136" s="982"/>
      <c r="O136" s="982"/>
      <c r="P136" s="982"/>
      <c r="Q136" s="982"/>
      <c r="R136" s="982"/>
      <c r="S136" s="982"/>
      <c r="T136" s="982"/>
      <c r="U136" s="982"/>
      <c r="V136" s="981">
        <v>0.13</v>
      </c>
      <c r="W136" s="983">
        <v>30000</v>
      </c>
      <c r="X136" s="471"/>
      <c r="Z136" s="899">
        <v>33981</v>
      </c>
      <c r="AA136" s="899"/>
      <c r="AB136" s="899"/>
    </row>
    <row r="137" spans="1:28" ht="14.25" hidden="1" customHeight="1" x14ac:dyDescent="0.2">
      <c r="A137" s="978">
        <v>1</v>
      </c>
      <c r="B137" s="979" t="s">
        <v>943</v>
      </c>
      <c r="C137" s="979" t="s">
        <v>1085</v>
      </c>
      <c r="D137" s="980">
        <v>5575111</v>
      </c>
      <c r="E137" s="980">
        <v>996000</v>
      </c>
      <c r="F137" s="979" t="s">
        <v>425</v>
      </c>
      <c r="G137" s="979" t="s">
        <v>425</v>
      </c>
      <c r="H137" s="981">
        <v>0</v>
      </c>
      <c r="I137" s="983">
        <v>0</v>
      </c>
      <c r="J137" s="981">
        <v>0.37</v>
      </c>
      <c r="K137" s="983">
        <v>0</v>
      </c>
      <c r="L137" s="983"/>
      <c r="M137" s="983"/>
      <c r="N137" s="983"/>
      <c r="O137" s="983"/>
      <c r="P137" s="983"/>
      <c r="Q137" s="983"/>
      <c r="R137" s="983"/>
      <c r="S137" s="983"/>
      <c r="T137" s="983"/>
      <c r="U137" s="983"/>
      <c r="V137" s="981">
        <v>0.37</v>
      </c>
      <c r="W137" s="983">
        <v>35000</v>
      </c>
      <c r="X137" s="471"/>
      <c r="Z137" s="899">
        <v>8541</v>
      </c>
      <c r="AA137" s="899"/>
      <c r="AB137" s="899"/>
    </row>
    <row r="138" spans="1:28" ht="14.25" hidden="1" customHeight="1" x14ac:dyDescent="0.2">
      <c r="A138" s="978">
        <v>1</v>
      </c>
      <c r="B138" s="979" t="s">
        <v>1035</v>
      </c>
      <c r="C138" s="979" t="s">
        <v>1391</v>
      </c>
      <c r="D138" s="980">
        <v>5581656</v>
      </c>
      <c r="E138" s="980">
        <v>996000</v>
      </c>
      <c r="F138" s="979" t="s">
        <v>425</v>
      </c>
      <c r="G138" s="979" t="s">
        <v>425</v>
      </c>
      <c r="H138" s="981">
        <v>0.67</v>
      </c>
      <c r="I138" s="982">
        <v>135079</v>
      </c>
      <c r="J138" s="981">
        <v>0.67</v>
      </c>
      <c r="K138" s="982">
        <v>135079</v>
      </c>
      <c r="L138" s="982"/>
      <c r="M138" s="982"/>
      <c r="N138" s="982"/>
      <c r="O138" s="982"/>
      <c r="P138" s="982"/>
      <c r="Q138" s="982"/>
      <c r="R138" s="982"/>
      <c r="S138" s="982"/>
      <c r="T138" s="982"/>
      <c r="U138" s="982"/>
      <c r="V138" s="981">
        <v>0.67</v>
      </c>
      <c r="W138" s="983">
        <v>60000</v>
      </c>
      <c r="X138" s="471"/>
      <c r="Z138" s="899">
        <v>104804</v>
      </c>
      <c r="AA138" s="899"/>
      <c r="AB138" s="899"/>
    </row>
    <row r="139" spans="1:28" ht="14.25" hidden="1" customHeight="1" x14ac:dyDescent="0.2">
      <c r="A139" s="978">
        <v>1</v>
      </c>
      <c r="B139" s="979" t="s">
        <v>1088</v>
      </c>
      <c r="C139" s="979" t="s">
        <v>1087</v>
      </c>
      <c r="D139" s="980">
        <v>5625702</v>
      </c>
      <c r="E139" s="980">
        <v>996000</v>
      </c>
      <c r="F139" s="979" t="s">
        <v>425</v>
      </c>
      <c r="G139" s="979" t="s">
        <v>425</v>
      </c>
      <c r="H139" s="981">
        <v>0</v>
      </c>
      <c r="I139" s="983">
        <v>0</v>
      </c>
      <c r="J139" s="981">
        <v>0.5</v>
      </c>
      <c r="K139" s="983">
        <v>25000</v>
      </c>
      <c r="L139" s="983"/>
      <c r="M139" s="983"/>
      <c r="N139" s="983"/>
      <c r="O139" s="983"/>
      <c r="P139" s="983"/>
      <c r="Q139" s="983"/>
      <c r="R139" s="983"/>
      <c r="S139" s="983"/>
      <c r="T139" s="983"/>
      <c r="U139" s="983"/>
      <c r="V139" s="981">
        <v>0.5</v>
      </c>
      <c r="W139" s="983">
        <v>65000</v>
      </c>
      <c r="X139" s="471"/>
      <c r="Z139" s="899">
        <v>15544</v>
      </c>
      <c r="AA139" s="899"/>
      <c r="AB139" s="899"/>
    </row>
    <row r="140" spans="1:28" ht="14.25" hidden="1" customHeight="1" x14ac:dyDescent="0.2">
      <c r="A140" s="978">
        <v>1</v>
      </c>
      <c r="B140" s="979" t="s">
        <v>1052</v>
      </c>
      <c r="C140" s="979" t="s">
        <v>1107</v>
      </c>
      <c r="D140" s="980">
        <v>5625907</v>
      </c>
      <c r="E140" s="980">
        <v>996000</v>
      </c>
      <c r="F140" s="979" t="s">
        <v>425</v>
      </c>
      <c r="G140" s="979" t="s">
        <v>425</v>
      </c>
      <c r="H140" s="981">
        <v>0.64</v>
      </c>
      <c r="I140" s="982">
        <v>120363</v>
      </c>
      <c r="J140" s="981">
        <v>0.64</v>
      </c>
      <c r="K140" s="982">
        <v>120363</v>
      </c>
      <c r="L140" s="982"/>
      <c r="M140" s="982"/>
      <c r="N140" s="982"/>
      <c r="O140" s="982"/>
      <c r="P140" s="982"/>
      <c r="Q140" s="982"/>
      <c r="R140" s="982"/>
      <c r="S140" s="982"/>
      <c r="T140" s="982"/>
      <c r="U140" s="982"/>
      <c r="V140" s="981">
        <v>0.64</v>
      </c>
      <c r="W140" s="983">
        <v>250000</v>
      </c>
      <c r="X140" s="471"/>
      <c r="Z140" s="899">
        <v>27890</v>
      </c>
      <c r="AA140" s="899"/>
      <c r="AB140" s="899"/>
    </row>
    <row r="141" spans="1:28" ht="14.25" hidden="1" customHeight="1" x14ac:dyDescent="0.2">
      <c r="A141" s="978">
        <v>1</v>
      </c>
      <c r="B141" s="979" t="s">
        <v>1087</v>
      </c>
      <c r="C141" s="979" t="s">
        <v>1143</v>
      </c>
      <c r="D141" s="980">
        <v>5625919</v>
      </c>
      <c r="E141" s="980">
        <v>996000</v>
      </c>
      <c r="F141" s="979" t="s">
        <v>425</v>
      </c>
      <c r="G141" s="979" t="s">
        <v>425</v>
      </c>
      <c r="H141" s="981">
        <v>0.36499999999999999</v>
      </c>
      <c r="I141" s="988">
        <v>29523</v>
      </c>
      <c r="J141" s="981">
        <v>0.36499999999999999</v>
      </c>
      <c r="K141" s="988">
        <v>29523</v>
      </c>
      <c r="L141" s="988"/>
      <c r="M141" s="988"/>
      <c r="N141" s="988"/>
      <c r="O141" s="988"/>
      <c r="P141" s="988"/>
      <c r="Q141" s="988"/>
      <c r="R141" s="988"/>
      <c r="S141" s="988"/>
      <c r="T141" s="988"/>
      <c r="U141" s="988"/>
      <c r="V141" s="981">
        <v>0.36499999999999999</v>
      </c>
      <c r="W141" s="983">
        <v>29000</v>
      </c>
      <c r="X141" s="471"/>
      <c r="Z141" s="899">
        <v>308690</v>
      </c>
      <c r="AA141" s="899"/>
      <c r="AB141" s="899"/>
    </row>
    <row r="142" spans="1:28" ht="14.25" hidden="1" customHeight="1" x14ac:dyDescent="0.2">
      <c r="A142" s="978">
        <v>1</v>
      </c>
      <c r="B142" s="979" t="s">
        <v>1102</v>
      </c>
      <c r="C142" s="979" t="s">
        <v>1103</v>
      </c>
      <c r="D142" s="980">
        <v>5688038</v>
      </c>
      <c r="E142" s="980">
        <v>996000</v>
      </c>
      <c r="F142" s="979" t="s">
        <v>425</v>
      </c>
      <c r="G142" s="979" t="s">
        <v>425</v>
      </c>
      <c r="H142" s="981">
        <v>0.30499999999999999</v>
      </c>
      <c r="I142" s="988">
        <v>22759</v>
      </c>
      <c r="J142" s="981">
        <v>0.30499999999999999</v>
      </c>
      <c r="K142" s="988">
        <v>22759</v>
      </c>
      <c r="L142" s="988"/>
      <c r="M142" s="988"/>
      <c r="N142" s="988"/>
      <c r="O142" s="988"/>
      <c r="P142" s="988"/>
      <c r="Q142" s="988"/>
      <c r="R142" s="988"/>
      <c r="S142" s="988"/>
      <c r="T142" s="988"/>
      <c r="U142" s="988"/>
      <c r="V142" s="981">
        <v>0.30499999999999999</v>
      </c>
      <c r="W142" s="983">
        <v>23000</v>
      </c>
      <c r="X142" s="471"/>
      <c r="Z142" s="899">
        <v>42443</v>
      </c>
      <c r="AA142" s="899"/>
      <c r="AB142" s="899"/>
    </row>
    <row r="143" spans="1:28" ht="14.25" hidden="1" customHeight="1" x14ac:dyDescent="0.2">
      <c r="A143" s="978">
        <v>1</v>
      </c>
      <c r="B143" s="979" t="s">
        <v>1074</v>
      </c>
      <c r="C143" s="979" t="s">
        <v>956</v>
      </c>
      <c r="D143" s="980">
        <v>5688075</v>
      </c>
      <c r="E143" s="980">
        <v>996000</v>
      </c>
      <c r="F143" s="979" t="s">
        <v>425</v>
      </c>
      <c r="G143" s="979" t="s">
        <v>425</v>
      </c>
      <c r="H143" s="981">
        <v>0.47</v>
      </c>
      <c r="I143" s="988">
        <v>101840</v>
      </c>
      <c r="J143" s="981">
        <v>0.47</v>
      </c>
      <c r="K143" s="988">
        <v>101840</v>
      </c>
      <c r="L143" s="988"/>
      <c r="M143" s="988"/>
      <c r="N143" s="988"/>
      <c r="O143" s="988"/>
      <c r="P143" s="988"/>
      <c r="Q143" s="988"/>
      <c r="R143" s="988"/>
      <c r="S143" s="988"/>
      <c r="T143" s="988"/>
      <c r="U143" s="988"/>
      <c r="V143" s="981">
        <v>0.47</v>
      </c>
      <c r="W143" s="983">
        <v>68000</v>
      </c>
      <c r="X143" s="471"/>
      <c r="Z143" s="899">
        <v>130330</v>
      </c>
      <c r="AA143" s="899"/>
      <c r="AB143" s="899"/>
    </row>
    <row r="144" spans="1:28" ht="14.25" hidden="1" customHeight="1" x14ac:dyDescent="0.2">
      <c r="A144" s="978">
        <v>1</v>
      </c>
      <c r="B144" s="979" t="s">
        <v>928</v>
      </c>
      <c r="C144" s="979" t="s">
        <v>1141</v>
      </c>
      <c r="D144" s="980">
        <v>5688223</v>
      </c>
      <c r="E144" s="980">
        <v>996000</v>
      </c>
      <c r="F144" s="979" t="s">
        <v>425</v>
      </c>
      <c r="G144" s="979" t="s">
        <v>425</v>
      </c>
      <c r="H144" s="981">
        <v>0.60299999999999998</v>
      </c>
      <c r="I144" s="988">
        <v>81708</v>
      </c>
      <c r="J144" s="981">
        <v>0.60299999999999998</v>
      </c>
      <c r="K144" s="988">
        <v>81708</v>
      </c>
      <c r="L144" s="988"/>
      <c r="M144" s="988"/>
      <c r="N144" s="988"/>
      <c r="O144" s="988"/>
      <c r="P144" s="988"/>
      <c r="Q144" s="988"/>
      <c r="R144" s="988"/>
      <c r="S144" s="988"/>
      <c r="T144" s="988"/>
      <c r="U144" s="988"/>
      <c r="V144" s="981">
        <v>0.60299999999999998</v>
      </c>
      <c r="W144" s="983">
        <v>80000</v>
      </c>
      <c r="X144" s="471"/>
      <c r="Z144" s="899">
        <v>2733</v>
      </c>
      <c r="AA144" s="899"/>
      <c r="AB144" s="899"/>
    </row>
    <row r="145" spans="1:28" ht="14.25" hidden="1" customHeight="1" x14ac:dyDescent="0.2">
      <c r="A145" s="978">
        <v>1</v>
      </c>
      <c r="B145" s="979" t="s">
        <v>1108</v>
      </c>
      <c r="C145" s="979" t="s">
        <v>1110</v>
      </c>
      <c r="D145" s="980">
        <v>5692217</v>
      </c>
      <c r="E145" s="980">
        <v>996000</v>
      </c>
      <c r="F145" s="979" t="s">
        <v>425</v>
      </c>
      <c r="G145" s="979" t="s">
        <v>425</v>
      </c>
      <c r="H145" s="981">
        <v>0.63</v>
      </c>
      <c r="I145" s="988">
        <v>56927</v>
      </c>
      <c r="J145" s="981">
        <v>0.63</v>
      </c>
      <c r="K145" s="988">
        <v>56927</v>
      </c>
      <c r="L145" s="988"/>
      <c r="M145" s="988"/>
      <c r="N145" s="988"/>
      <c r="O145" s="988"/>
      <c r="P145" s="988"/>
      <c r="Q145" s="988"/>
      <c r="R145" s="988"/>
      <c r="S145" s="988"/>
      <c r="T145" s="988"/>
      <c r="U145" s="988"/>
      <c r="V145" s="981">
        <v>0.63</v>
      </c>
      <c r="W145" s="983">
        <v>56000</v>
      </c>
      <c r="X145" s="471"/>
      <c r="Z145" s="899">
        <v>108484</v>
      </c>
      <c r="AA145" s="899"/>
      <c r="AB145" s="899"/>
    </row>
    <row r="146" spans="1:28" ht="14.25" hidden="1" customHeight="1" x14ac:dyDescent="0.2">
      <c r="A146" s="978">
        <v>1</v>
      </c>
      <c r="B146" s="979" t="s">
        <v>1108</v>
      </c>
      <c r="C146" s="979" t="s">
        <v>1109</v>
      </c>
      <c r="D146" s="980">
        <v>5760050</v>
      </c>
      <c r="E146" s="980">
        <v>996000</v>
      </c>
      <c r="F146" s="979" t="s">
        <v>425</v>
      </c>
      <c r="G146" s="979" t="s">
        <v>425</v>
      </c>
      <c r="H146" s="981">
        <v>0.26</v>
      </c>
      <c r="I146" s="982">
        <v>20250</v>
      </c>
      <c r="J146" s="981">
        <v>0.26</v>
      </c>
      <c r="K146" s="982">
        <v>20250</v>
      </c>
      <c r="L146" s="982"/>
      <c r="M146" s="982"/>
      <c r="N146" s="982"/>
      <c r="O146" s="982"/>
      <c r="P146" s="982"/>
      <c r="Q146" s="982"/>
      <c r="R146" s="982"/>
      <c r="S146" s="982"/>
      <c r="T146" s="982"/>
      <c r="U146" s="982"/>
      <c r="V146" s="981">
        <v>0.26</v>
      </c>
      <c r="W146" s="983">
        <v>25000</v>
      </c>
      <c r="X146" s="471"/>
      <c r="Z146" s="899"/>
      <c r="AA146" s="899"/>
      <c r="AB146" s="899"/>
    </row>
    <row r="147" spans="1:28" ht="14.25" hidden="1" customHeight="1" x14ac:dyDescent="0.2">
      <c r="A147" s="978">
        <v>1</v>
      </c>
      <c r="B147" s="979" t="s">
        <v>1006</v>
      </c>
      <c r="C147" s="979" t="s">
        <v>1398</v>
      </c>
      <c r="D147" s="980">
        <v>5760408</v>
      </c>
      <c r="E147" s="980">
        <v>996000</v>
      </c>
      <c r="F147" s="979" t="s">
        <v>425</v>
      </c>
      <c r="G147" s="979" t="s">
        <v>425</v>
      </c>
      <c r="H147" s="981">
        <v>0</v>
      </c>
      <c r="I147" s="983">
        <v>0</v>
      </c>
      <c r="J147" s="981">
        <v>0.62</v>
      </c>
      <c r="K147" s="983">
        <v>0</v>
      </c>
      <c r="L147" s="983"/>
      <c r="M147" s="983"/>
      <c r="N147" s="983"/>
      <c r="O147" s="983"/>
      <c r="P147" s="983"/>
      <c r="Q147" s="983"/>
      <c r="R147" s="983"/>
      <c r="S147" s="983"/>
      <c r="T147" s="983"/>
      <c r="U147" s="983"/>
      <c r="V147" s="981">
        <v>0.62</v>
      </c>
      <c r="W147" s="983">
        <v>85000</v>
      </c>
      <c r="X147" s="471"/>
      <c r="Z147" s="899"/>
      <c r="AA147" s="899"/>
      <c r="AB147" s="899"/>
    </row>
    <row r="148" spans="1:28" hidden="1" x14ac:dyDescent="0.2">
      <c r="A148" s="978">
        <v>1</v>
      </c>
      <c r="B148" s="979" t="s">
        <v>967</v>
      </c>
      <c r="C148" s="979" t="s">
        <v>1397</v>
      </c>
      <c r="D148" s="980">
        <v>5763016</v>
      </c>
      <c r="E148" s="980">
        <v>996000</v>
      </c>
      <c r="F148" s="979" t="s">
        <v>425</v>
      </c>
      <c r="G148" s="979" t="s">
        <v>425</v>
      </c>
      <c r="H148" s="981">
        <v>0</v>
      </c>
      <c r="I148" s="983">
        <v>0</v>
      </c>
      <c r="J148" s="981">
        <v>0.54</v>
      </c>
      <c r="K148" s="983">
        <v>60000</v>
      </c>
      <c r="L148" s="983"/>
      <c r="M148" s="983"/>
      <c r="N148" s="983"/>
      <c r="O148" s="983"/>
      <c r="P148" s="983"/>
      <c r="Q148" s="983"/>
      <c r="R148" s="983"/>
      <c r="S148" s="983"/>
      <c r="T148" s="983"/>
      <c r="U148" s="983"/>
      <c r="V148" s="981">
        <v>0.54</v>
      </c>
      <c r="W148" s="983">
        <v>48000</v>
      </c>
      <c r="X148" s="471"/>
      <c r="Z148" s="899"/>
      <c r="AA148" s="899"/>
      <c r="AB148" s="899"/>
    </row>
    <row r="149" spans="1:28" ht="14.25" hidden="1" customHeight="1" x14ac:dyDescent="0.2">
      <c r="A149" s="978">
        <v>1</v>
      </c>
      <c r="B149" s="979" t="s">
        <v>948</v>
      </c>
      <c r="C149" s="979" t="s">
        <v>1389</v>
      </c>
      <c r="D149" s="980">
        <v>5818955</v>
      </c>
      <c r="E149" s="980">
        <v>996000</v>
      </c>
      <c r="F149" s="979" t="s">
        <v>425</v>
      </c>
      <c r="G149" s="979" t="s">
        <v>425</v>
      </c>
      <c r="H149" s="981">
        <v>0.25</v>
      </c>
      <c r="I149" s="982">
        <v>29592</v>
      </c>
      <c r="J149" s="981">
        <v>0.25</v>
      </c>
      <c r="K149" s="982">
        <v>29592</v>
      </c>
      <c r="L149" s="982"/>
      <c r="M149" s="982"/>
      <c r="N149" s="982"/>
      <c r="O149" s="982"/>
      <c r="P149" s="982"/>
      <c r="Q149" s="982"/>
      <c r="R149" s="982"/>
      <c r="S149" s="982"/>
      <c r="T149" s="982"/>
      <c r="U149" s="982"/>
      <c r="V149" s="981">
        <v>0.25</v>
      </c>
      <c r="W149" s="983">
        <v>17000</v>
      </c>
      <c r="X149" s="471"/>
      <c r="Z149" s="899"/>
      <c r="AA149" s="899"/>
      <c r="AB149" s="899"/>
    </row>
    <row r="150" spans="1:28" ht="14.25" hidden="1" customHeight="1" x14ac:dyDescent="0.2">
      <c r="A150" s="978">
        <v>1</v>
      </c>
      <c r="B150" s="979" t="s">
        <v>928</v>
      </c>
      <c r="C150" s="979" t="s">
        <v>1142</v>
      </c>
      <c r="D150" s="980">
        <v>5934536</v>
      </c>
      <c r="E150" s="980">
        <v>996000</v>
      </c>
      <c r="F150" s="979" t="s">
        <v>425</v>
      </c>
      <c r="G150" s="979" t="s">
        <v>425</v>
      </c>
      <c r="H150" s="981">
        <v>0.50700000000000001</v>
      </c>
      <c r="I150" s="988">
        <v>43830</v>
      </c>
      <c r="J150" s="981">
        <v>0.50700000000000001</v>
      </c>
      <c r="K150" s="988">
        <v>43830</v>
      </c>
      <c r="L150" s="988"/>
      <c r="M150" s="988"/>
      <c r="N150" s="988"/>
      <c r="O150" s="988"/>
      <c r="P150" s="988"/>
      <c r="Q150" s="988"/>
      <c r="R150" s="988"/>
      <c r="S150" s="988"/>
      <c r="T150" s="988"/>
      <c r="U150" s="988"/>
      <c r="V150" s="981">
        <v>0.50700000000000001</v>
      </c>
      <c r="W150" s="983">
        <v>48000</v>
      </c>
      <c r="X150" s="471"/>
      <c r="Z150" s="899"/>
      <c r="AA150" s="899"/>
      <c r="AB150" s="899"/>
    </row>
    <row r="151" spans="1:28" ht="14.25" hidden="1" customHeight="1" x14ac:dyDescent="0.2">
      <c r="A151" s="978">
        <v>1</v>
      </c>
      <c r="B151" s="979" t="s">
        <v>1116</v>
      </c>
      <c r="C151" s="979" t="s">
        <v>1117</v>
      </c>
      <c r="D151" s="980">
        <v>5938514</v>
      </c>
      <c r="E151" s="980">
        <v>996000</v>
      </c>
      <c r="F151" s="979" t="s">
        <v>425</v>
      </c>
      <c r="G151" s="979" t="s">
        <v>425</v>
      </c>
      <c r="H151" s="981">
        <v>0.65</v>
      </c>
      <c r="I151" s="988">
        <v>70255</v>
      </c>
      <c r="J151" s="981">
        <v>0.65</v>
      </c>
      <c r="K151" s="988">
        <v>70255</v>
      </c>
      <c r="L151" s="988"/>
      <c r="M151" s="988"/>
      <c r="N151" s="988"/>
      <c r="O151" s="988"/>
      <c r="P151" s="988"/>
      <c r="Q151" s="988"/>
      <c r="R151" s="988"/>
      <c r="S151" s="988"/>
      <c r="T151" s="988"/>
      <c r="U151" s="988"/>
      <c r="V151" s="981">
        <v>0.65</v>
      </c>
      <c r="W151" s="983">
        <v>70000</v>
      </c>
      <c r="X151" s="471"/>
      <c r="Z151" s="899"/>
      <c r="AA151" s="899"/>
      <c r="AB151" s="899"/>
    </row>
    <row r="152" spans="1:28" ht="14.25" hidden="1" customHeight="1" x14ac:dyDescent="0.2">
      <c r="A152" s="978">
        <v>1</v>
      </c>
      <c r="B152" s="979" t="s">
        <v>955</v>
      </c>
      <c r="C152" s="979" t="s">
        <v>1387</v>
      </c>
      <c r="D152" s="980">
        <v>5954395</v>
      </c>
      <c r="E152" s="980">
        <v>996000</v>
      </c>
      <c r="F152" s="979" t="s">
        <v>425</v>
      </c>
      <c r="G152" s="979" t="s">
        <v>425</v>
      </c>
      <c r="H152" s="981">
        <v>0.51</v>
      </c>
      <c r="I152" s="982">
        <v>108567</v>
      </c>
      <c r="J152" s="981">
        <v>0.51</v>
      </c>
      <c r="K152" s="982">
        <v>108567</v>
      </c>
      <c r="L152" s="982"/>
      <c r="M152" s="982"/>
      <c r="N152" s="982"/>
      <c r="O152" s="982"/>
      <c r="P152" s="982"/>
      <c r="Q152" s="982"/>
      <c r="R152" s="982"/>
      <c r="S152" s="982"/>
      <c r="T152" s="982"/>
      <c r="U152" s="982"/>
      <c r="V152" s="981">
        <v>0.51</v>
      </c>
      <c r="W152" s="983">
        <v>70000</v>
      </c>
      <c r="X152" s="471"/>
      <c r="Z152" s="899"/>
      <c r="AA152" s="899"/>
      <c r="AB152" s="899"/>
    </row>
    <row r="153" spans="1:28" ht="14.25" hidden="1" customHeight="1" x14ac:dyDescent="0.2">
      <c r="A153" s="978">
        <v>1</v>
      </c>
      <c r="B153" s="979" t="s">
        <v>1084</v>
      </c>
      <c r="C153" s="979" t="s">
        <v>1399</v>
      </c>
      <c r="D153" s="980">
        <v>5987092</v>
      </c>
      <c r="E153" s="980">
        <v>996000</v>
      </c>
      <c r="F153" s="979" t="s">
        <v>425</v>
      </c>
      <c r="G153" s="979" t="s">
        <v>425</v>
      </c>
      <c r="H153" s="981">
        <v>0</v>
      </c>
      <c r="I153" s="983">
        <v>0</v>
      </c>
      <c r="J153" s="981">
        <v>0.5</v>
      </c>
      <c r="K153" s="983">
        <v>0</v>
      </c>
      <c r="L153" s="983"/>
      <c r="M153" s="983"/>
      <c r="N153" s="983"/>
      <c r="O153" s="983"/>
      <c r="P153" s="983"/>
      <c r="Q153" s="983"/>
      <c r="R153" s="983"/>
      <c r="S153" s="983"/>
      <c r="T153" s="983"/>
      <c r="U153" s="983"/>
      <c r="V153" s="981">
        <v>0.5</v>
      </c>
      <c r="W153" s="983">
        <v>50000</v>
      </c>
      <c r="X153" s="471"/>
      <c r="Z153" s="899"/>
      <c r="AA153" s="899"/>
      <c r="AB153" s="899"/>
    </row>
    <row r="154" spans="1:28" ht="14.25" hidden="1" customHeight="1" x14ac:dyDescent="0.2">
      <c r="A154" s="978">
        <v>1</v>
      </c>
      <c r="B154" s="979" t="s">
        <v>1390</v>
      </c>
      <c r="C154" s="979" t="s">
        <v>976</v>
      </c>
      <c r="D154" s="980">
        <v>5992863</v>
      </c>
      <c r="E154" s="980">
        <v>996000</v>
      </c>
      <c r="F154" s="979" t="s">
        <v>425</v>
      </c>
      <c r="G154" s="979" t="s">
        <v>425</v>
      </c>
      <c r="H154" s="981">
        <v>0.44</v>
      </c>
      <c r="I154" s="982">
        <v>317219</v>
      </c>
      <c r="J154" s="981">
        <v>0.44</v>
      </c>
      <c r="K154" s="982">
        <v>317219</v>
      </c>
      <c r="L154" s="982"/>
      <c r="M154" s="982"/>
      <c r="N154" s="982"/>
      <c r="O154" s="982"/>
      <c r="P154" s="982"/>
      <c r="Q154" s="982"/>
      <c r="R154" s="982"/>
      <c r="S154" s="982"/>
      <c r="T154" s="982"/>
      <c r="U154" s="982"/>
      <c r="V154" s="981">
        <v>0.44</v>
      </c>
      <c r="W154" s="983">
        <v>108000</v>
      </c>
      <c r="X154" s="471"/>
      <c r="Z154" s="899"/>
      <c r="AA154" s="899"/>
      <c r="AB154" s="899"/>
    </row>
    <row r="155" spans="1:28" ht="14.25" hidden="1" customHeight="1" x14ac:dyDescent="0.2">
      <c r="A155" s="978">
        <v>1</v>
      </c>
      <c r="B155" s="979" t="s">
        <v>987</v>
      </c>
      <c r="C155" s="979" t="s">
        <v>1134</v>
      </c>
      <c r="D155" s="980">
        <v>8099260</v>
      </c>
      <c r="E155" s="980">
        <v>996000</v>
      </c>
      <c r="F155" s="979" t="s">
        <v>425</v>
      </c>
      <c r="G155" s="979" t="s">
        <v>425</v>
      </c>
      <c r="H155" s="981">
        <v>0.29499999999999998</v>
      </c>
      <c r="I155" s="988">
        <v>23836</v>
      </c>
      <c r="J155" s="981">
        <v>0.29499999999999998</v>
      </c>
      <c r="K155" s="988">
        <v>23836</v>
      </c>
      <c r="L155" s="988"/>
      <c r="M155" s="988"/>
      <c r="N155" s="988"/>
      <c r="O155" s="988"/>
      <c r="P155" s="988"/>
      <c r="Q155" s="988"/>
      <c r="R155" s="988"/>
      <c r="S155" s="988"/>
      <c r="T155" s="988"/>
      <c r="U155" s="988"/>
      <c r="V155" s="981">
        <v>0.29499999999999998</v>
      </c>
      <c r="W155" s="983">
        <v>24000</v>
      </c>
      <c r="X155" s="471"/>
      <c r="Z155" s="899"/>
      <c r="AA155" s="899"/>
      <c r="AB155" s="899"/>
    </row>
    <row r="156" spans="1:28" ht="14.25" hidden="1" customHeight="1" x14ac:dyDescent="0.2">
      <c r="A156" s="978">
        <v>1</v>
      </c>
      <c r="B156" s="979" t="s">
        <v>1392</v>
      </c>
      <c r="C156" s="979" t="s">
        <v>1051</v>
      </c>
      <c r="D156" s="980">
        <v>9999999</v>
      </c>
      <c r="E156" s="980">
        <v>996000</v>
      </c>
      <c r="F156" s="979" t="s">
        <v>425</v>
      </c>
      <c r="G156" s="979" t="s">
        <v>425</v>
      </c>
      <c r="H156" s="981">
        <v>0</v>
      </c>
      <c r="I156" s="983">
        <v>0</v>
      </c>
      <c r="J156" s="981">
        <v>0</v>
      </c>
      <c r="K156" s="983">
        <v>0</v>
      </c>
      <c r="L156" s="983"/>
      <c r="M156" s="983"/>
      <c r="N156" s="983"/>
      <c r="O156" s="983"/>
      <c r="P156" s="983"/>
      <c r="Q156" s="983"/>
      <c r="R156" s="983"/>
      <c r="S156" s="983"/>
      <c r="T156" s="983"/>
      <c r="U156" s="983"/>
      <c r="V156" s="981">
        <v>0.5</v>
      </c>
      <c r="W156" s="983">
        <v>40000</v>
      </c>
      <c r="X156" s="471"/>
      <c r="Z156" s="899"/>
      <c r="AA156" s="899"/>
      <c r="AB156" s="899"/>
    </row>
    <row r="157" spans="1:28" ht="20.25" hidden="1" customHeight="1" x14ac:dyDescent="0.2">
      <c r="A157" s="1468" t="s">
        <v>1404</v>
      </c>
      <c r="B157" s="1468"/>
      <c r="C157" s="1468"/>
      <c r="D157" s="1024"/>
      <c r="E157" s="1024"/>
      <c r="F157" s="1023"/>
      <c r="G157" s="1023"/>
      <c r="H157" s="1029">
        <f>SUM(H87:H145)</f>
        <v>20.761000000000003</v>
      </c>
      <c r="I157" s="1029">
        <f>SUM(I87:I156)</f>
        <v>3570052</v>
      </c>
      <c r="J157" s="1029">
        <f>SUM(J87:J156)</f>
        <v>28.093000000000011</v>
      </c>
      <c r="K157" s="1029">
        <f>SUM(K87:K156)</f>
        <v>3860065</v>
      </c>
      <c r="L157" s="1029"/>
      <c r="M157" s="1029"/>
      <c r="N157" s="1029"/>
      <c r="O157" s="1029"/>
      <c r="P157" s="1029"/>
      <c r="Q157" s="1029"/>
      <c r="R157" s="1029"/>
      <c r="S157" s="1029"/>
      <c r="T157" s="1029"/>
      <c r="U157" s="1029"/>
      <c r="V157" s="1029">
        <f>SUM(V87:V156)</f>
        <v>28.593000000000011</v>
      </c>
      <c r="W157" s="1029">
        <f>SUM(W87:W156)</f>
        <v>3810000</v>
      </c>
      <c r="X157" s="471"/>
      <c r="Z157" s="899"/>
      <c r="AA157" s="899"/>
      <c r="AB157" s="899"/>
    </row>
    <row r="158" spans="1:28" s="461" customFormat="1" ht="30" hidden="1" customHeight="1" x14ac:dyDescent="0.2">
      <c r="A158" s="1469" t="s">
        <v>1405</v>
      </c>
      <c r="B158" s="1469"/>
      <c r="C158" s="1469"/>
      <c r="D158" s="1469"/>
      <c r="E158" s="1469"/>
      <c r="F158" s="1469"/>
      <c r="G158" s="990"/>
      <c r="H158" s="991">
        <f t="shared" ref="H158:W158" si="21">H5+H7+H9+H12+H21+H24+H27+H29+H34+H36+H38+H41+H43+H45+H51+H60+H62+H66+H68+H73+H79+H81+H86+H157</f>
        <v>63.411000000000001</v>
      </c>
      <c r="I158" s="991">
        <f t="shared" si="21"/>
        <v>9812901</v>
      </c>
      <c r="J158" s="992">
        <f>J5+J7+J9+J12+J21+J24+J27+J29+J34+J36+J38+J41+J43+J45+J51+J60+J62+J66+J68+J73+J79+J81+J86+J157+J47</f>
        <v>73.343000000000018</v>
      </c>
      <c r="K158" s="991">
        <f>K5+K7+K9+K12+K21+K24+K27+K29+K34+K36+K38+K41+K43+K45+K51+K60+K62+K66+K68+K73+K79+K81+K86+K157+K47</f>
        <v>10323260.416666666</v>
      </c>
      <c r="L158" s="991"/>
      <c r="M158" s="991"/>
      <c r="N158" s="991"/>
      <c r="O158" s="991"/>
      <c r="P158" s="991"/>
      <c r="Q158" s="991"/>
      <c r="R158" s="991"/>
      <c r="S158" s="991"/>
      <c r="T158" s="991"/>
      <c r="U158" s="991"/>
      <c r="V158" s="991">
        <f t="shared" si="21"/>
        <v>66.743000000000009</v>
      </c>
      <c r="W158" s="991">
        <f t="shared" si="21"/>
        <v>10115300</v>
      </c>
      <c r="Z158" s="902"/>
      <c r="AA158" s="899"/>
      <c r="AB158" s="899"/>
    </row>
    <row r="159" spans="1:28" ht="14.25" hidden="1" customHeight="1" x14ac:dyDescent="0.2">
      <c r="A159" s="978">
        <v>1</v>
      </c>
      <c r="B159" s="979" t="s">
        <v>1392</v>
      </c>
      <c r="C159" s="979" t="s">
        <v>1051</v>
      </c>
      <c r="D159" s="980">
        <v>9999999</v>
      </c>
      <c r="E159" s="980">
        <v>997000</v>
      </c>
      <c r="F159" s="979" t="s">
        <v>1778</v>
      </c>
      <c r="G159" s="979" t="s">
        <v>425</v>
      </c>
      <c r="H159" s="981">
        <v>0</v>
      </c>
      <c r="I159" s="983">
        <v>0</v>
      </c>
      <c r="J159" s="981">
        <v>0.5</v>
      </c>
      <c r="K159" s="983">
        <v>46000</v>
      </c>
      <c r="L159" s="983"/>
      <c r="M159" s="983"/>
      <c r="N159" s="983"/>
      <c r="O159" s="983"/>
      <c r="P159" s="983"/>
      <c r="Q159" s="983"/>
      <c r="R159" s="983"/>
      <c r="S159" s="983"/>
      <c r="T159" s="983"/>
      <c r="U159" s="983"/>
      <c r="V159" s="981">
        <v>0</v>
      </c>
      <c r="W159" s="983">
        <v>0</v>
      </c>
      <c r="X159" s="741"/>
      <c r="Z159" s="899"/>
      <c r="AA159" s="899"/>
      <c r="AB159" s="899"/>
    </row>
    <row r="160" spans="1:28" ht="14.25" hidden="1" customHeight="1" x14ac:dyDescent="0.2">
      <c r="A160" s="978">
        <v>1</v>
      </c>
      <c r="B160" s="979" t="s">
        <v>1135</v>
      </c>
      <c r="C160" s="979" t="s">
        <v>1394</v>
      </c>
      <c r="D160" s="980">
        <v>2824491</v>
      </c>
      <c r="E160" s="980">
        <v>997000</v>
      </c>
      <c r="F160" s="979" t="s">
        <v>1778</v>
      </c>
      <c r="G160" s="979" t="s">
        <v>425</v>
      </c>
      <c r="H160" s="981">
        <v>0</v>
      </c>
      <c r="I160" s="983">
        <v>0</v>
      </c>
      <c r="J160" s="981">
        <v>0.35</v>
      </c>
      <c r="K160" s="983">
        <v>55002</v>
      </c>
      <c r="L160" s="983"/>
      <c r="M160" s="983"/>
      <c r="N160" s="983"/>
      <c r="O160" s="983"/>
      <c r="P160" s="983"/>
      <c r="Q160" s="983"/>
      <c r="R160" s="983"/>
      <c r="S160" s="983"/>
      <c r="T160" s="983"/>
      <c r="U160" s="983"/>
      <c r="V160" s="981">
        <v>0</v>
      </c>
      <c r="W160" s="983">
        <v>0</v>
      </c>
      <c r="X160" s="741"/>
      <c r="Z160" s="899"/>
      <c r="AA160" s="899"/>
      <c r="AB160" s="899"/>
    </row>
    <row r="161" spans="1:28" ht="14.25" hidden="1" customHeight="1" x14ac:dyDescent="0.2">
      <c r="A161" s="978">
        <v>1</v>
      </c>
      <c r="B161" s="979" t="s">
        <v>967</v>
      </c>
      <c r="C161" s="979" t="s">
        <v>1397</v>
      </c>
      <c r="D161" s="980">
        <v>5763016</v>
      </c>
      <c r="E161" s="980">
        <v>997000</v>
      </c>
      <c r="F161" s="979" t="s">
        <v>1778</v>
      </c>
      <c r="G161" s="979" t="s">
        <v>425</v>
      </c>
      <c r="H161" s="981">
        <v>0</v>
      </c>
      <c r="I161" s="983">
        <v>0</v>
      </c>
      <c r="J161" s="981">
        <v>0.54</v>
      </c>
      <c r="K161" s="983">
        <v>98267</v>
      </c>
      <c r="L161" s="983"/>
      <c r="M161" s="983"/>
      <c r="N161" s="983"/>
      <c r="O161" s="983"/>
      <c r="P161" s="983"/>
      <c r="Q161" s="983"/>
      <c r="R161" s="983"/>
      <c r="S161" s="983"/>
      <c r="T161" s="983"/>
      <c r="U161" s="983"/>
      <c r="V161" s="981">
        <v>0</v>
      </c>
      <c r="W161" s="983">
        <v>0</v>
      </c>
      <c r="X161" s="741"/>
      <c r="Z161" s="899"/>
      <c r="AA161" s="899"/>
      <c r="AB161" s="899"/>
    </row>
    <row r="162" spans="1:28" ht="14.25" hidden="1" customHeight="1" x14ac:dyDescent="0.2">
      <c r="A162" s="978">
        <v>1</v>
      </c>
      <c r="B162" s="979" t="s">
        <v>1006</v>
      </c>
      <c r="C162" s="979" t="s">
        <v>1398</v>
      </c>
      <c r="D162" s="980">
        <v>5760408</v>
      </c>
      <c r="E162" s="980">
        <v>997000</v>
      </c>
      <c r="F162" s="979" t="s">
        <v>1778</v>
      </c>
      <c r="G162" s="979" t="s">
        <v>425</v>
      </c>
      <c r="H162" s="981">
        <v>0</v>
      </c>
      <c r="I162" s="983">
        <v>0</v>
      </c>
      <c r="J162" s="981">
        <v>0</v>
      </c>
      <c r="K162" s="983">
        <v>0</v>
      </c>
      <c r="L162" s="983"/>
      <c r="M162" s="983"/>
      <c r="N162" s="983"/>
      <c r="O162" s="983"/>
      <c r="P162" s="983"/>
      <c r="Q162" s="983"/>
      <c r="R162" s="983"/>
      <c r="S162" s="983"/>
      <c r="T162" s="983"/>
      <c r="U162" s="983"/>
      <c r="V162" s="981">
        <v>0</v>
      </c>
      <c r="W162" s="983">
        <v>150091</v>
      </c>
      <c r="X162" s="741"/>
      <c r="Z162" s="899"/>
      <c r="AA162" s="899"/>
      <c r="AB162" s="899"/>
    </row>
    <row r="163" spans="1:28" ht="14.25" hidden="1" customHeight="1" x14ac:dyDescent="0.2">
      <c r="A163" s="978">
        <v>1</v>
      </c>
      <c r="B163" s="979" t="s">
        <v>1088</v>
      </c>
      <c r="C163" s="979" t="s">
        <v>1087</v>
      </c>
      <c r="D163" s="980">
        <v>5625702</v>
      </c>
      <c r="E163" s="980">
        <v>997000</v>
      </c>
      <c r="F163" s="979" t="s">
        <v>1778</v>
      </c>
      <c r="G163" s="979" t="s">
        <v>425</v>
      </c>
      <c r="H163" s="981">
        <v>0</v>
      </c>
      <c r="I163" s="983">
        <v>0</v>
      </c>
      <c r="J163" s="981">
        <v>0.6</v>
      </c>
      <c r="K163" s="983">
        <v>173159</v>
      </c>
      <c r="L163" s="983"/>
      <c r="M163" s="983"/>
      <c r="N163" s="983"/>
      <c r="O163" s="983"/>
      <c r="P163" s="983"/>
      <c r="Q163" s="983"/>
      <c r="R163" s="983"/>
      <c r="S163" s="983"/>
      <c r="T163" s="983"/>
      <c r="U163" s="983"/>
      <c r="V163" s="981">
        <v>0</v>
      </c>
      <c r="W163" s="983">
        <v>0</v>
      </c>
      <c r="X163" s="741"/>
      <c r="Z163" s="899"/>
      <c r="AA163" s="899"/>
      <c r="AB163" s="899"/>
    </row>
    <row r="164" spans="1:28" ht="14.25" hidden="1" customHeight="1" x14ac:dyDescent="0.2">
      <c r="A164" s="978">
        <v>1</v>
      </c>
      <c r="B164" s="979" t="s">
        <v>1022</v>
      </c>
      <c r="C164" s="979" t="s">
        <v>924</v>
      </c>
      <c r="D164" s="980">
        <v>5443083</v>
      </c>
      <c r="E164" s="980">
        <v>997000</v>
      </c>
      <c r="F164" s="979" t="s">
        <v>1778</v>
      </c>
      <c r="G164" s="979" t="s">
        <v>425</v>
      </c>
      <c r="H164" s="981">
        <v>0</v>
      </c>
      <c r="I164" s="983">
        <v>0</v>
      </c>
      <c r="J164" s="981">
        <v>0.53</v>
      </c>
      <c r="K164" s="983">
        <v>275000</v>
      </c>
      <c r="L164" s="983"/>
      <c r="M164" s="983"/>
      <c r="N164" s="983"/>
      <c r="O164" s="983"/>
      <c r="P164" s="983"/>
      <c r="Q164" s="983"/>
      <c r="R164" s="983"/>
      <c r="S164" s="983"/>
      <c r="T164" s="983"/>
      <c r="U164" s="983"/>
      <c r="V164" s="981">
        <v>0</v>
      </c>
      <c r="W164" s="983">
        <v>0</v>
      </c>
      <c r="X164" s="741"/>
      <c r="Z164" s="899"/>
      <c r="AA164" s="899"/>
      <c r="AB164" s="899"/>
    </row>
    <row r="165" spans="1:28" ht="14.25" hidden="1" customHeight="1" x14ac:dyDescent="0.2">
      <c r="A165" s="978">
        <v>1</v>
      </c>
      <c r="B165" s="979" t="s">
        <v>1400</v>
      </c>
      <c r="C165" s="979" t="s">
        <v>1401</v>
      </c>
      <c r="D165" s="980">
        <v>5078925</v>
      </c>
      <c r="E165" s="980">
        <v>997000</v>
      </c>
      <c r="F165" s="979" t="s">
        <v>1778</v>
      </c>
      <c r="G165" s="979" t="s">
        <v>425</v>
      </c>
      <c r="H165" s="981">
        <v>0</v>
      </c>
      <c r="I165" s="983">
        <v>0</v>
      </c>
      <c r="J165" s="981">
        <v>0.43</v>
      </c>
      <c r="K165" s="983">
        <v>85000</v>
      </c>
      <c r="L165" s="983"/>
      <c r="M165" s="983"/>
      <c r="N165" s="983"/>
      <c r="O165" s="983"/>
      <c r="P165" s="983"/>
      <c r="Q165" s="983"/>
      <c r="R165" s="983"/>
      <c r="S165" s="983"/>
      <c r="T165" s="983"/>
      <c r="U165" s="983"/>
      <c r="V165" s="981">
        <v>0</v>
      </c>
      <c r="W165" s="983">
        <v>0</v>
      </c>
      <c r="X165" s="741"/>
      <c r="Z165" s="899"/>
      <c r="AA165" s="899"/>
      <c r="AB165" s="899"/>
    </row>
    <row r="166" spans="1:28" ht="14.25" hidden="1" customHeight="1" x14ac:dyDescent="0.2">
      <c r="A166" s="978">
        <v>1</v>
      </c>
      <c r="B166" s="979" t="s">
        <v>1071</v>
      </c>
      <c r="C166" s="979" t="s">
        <v>1077</v>
      </c>
      <c r="D166" s="980">
        <v>5043571</v>
      </c>
      <c r="E166" s="980">
        <v>997000</v>
      </c>
      <c r="F166" s="979" t="s">
        <v>1778</v>
      </c>
      <c r="G166" s="979" t="s">
        <v>425</v>
      </c>
      <c r="H166" s="981">
        <v>0</v>
      </c>
      <c r="I166" s="983">
        <v>0</v>
      </c>
      <c r="J166" s="981">
        <v>0.6</v>
      </c>
      <c r="K166" s="983">
        <v>39000</v>
      </c>
      <c r="L166" s="983"/>
      <c r="M166" s="983"/>
      <c r="N166" s="983"/>
      <c r="O166" s="983"/>
      <c r="P166" s="983"/>
      <c r="Q166" s="983"/>
      <c r="R166" s="983"/>
      <c r="S166" s="983"/>
      <c r="T166" s="983"/>
      <c r="U166" s="983"/>
      <c r="V166" s="981">
        <v>0</v>
      </c>
      <c r="W166" s="983">
        <v>0</v>
      </c>
      <c r="X166" s="741"/>
      <c r="Z166" s="899"/>
      <c r="AA166" s="899"/>
      <c r="AB166" s="899"/>
    </row>
    <row r="167" spans="1:28" ht="14.25" hidden="1" customHeight="1" x14ac:dyDescent="0.2">
      <c r="A167" s="978">
        <v>1</v>
      </c>
      <c r="B167" s="979" t="s">
        <v>1776</v>
      </c>
      <c r="C167" s="979" t="s">
        <v>1777</v>
      </c>
      <c r="D167" s="980">
        <v>5239197</v>
      </c>
      <c r="E167" s="980">
        <v>997000</v>
      </c>
      <c r="F167" s="979" t="s">
        <v>1778</v>
      </c>
      <c r="G167" s="979" t="s">
        <v>425</v>
      </c>
      <c r="H167" s="981">
        <v>0</v>
      </c>
      <c r="I167" s="983">
        <v>0</v>
      </c>
      <c r="J167" s="981">
        <v>0</v>
      </c>
      <c r="K167" s="983">
        <v>80000</v>
      </c>
      <c r="L167" s="983"/>
      <c r="M167" s="983"/>
      <c r="N167" s="983"/>
      <c r="O167" s="983"/>
      <c r="P167" s="983"/>
      <c r="Q167" s="983"/>
      <c r="R167" s="983"/>
      <c r="S167" s="983"/>
      <c r="T167" s="983"/>
      <c r="U167" s="983"/>
      <c r="V167" s="981">
        <v>0</v>
      </c>
      <c r="W167" s="983">
        <v>0</v>
      </c>
      <c r="X167" s="741"/>
      <c r="Z167" s="899"/>
      <c r="AA167" s="899"/>
      <c r="AB167" s="899"/>
    </row>
    <row r="168" spans="1:28" ht="14.25" hidden="1" customHeight="1" x14ac:dyDescent="0.2">
      <c r="A168" s="978">
        <v>1</v>
      </c>
      <c r="B168" s="979" t="s">
        <v>1079</v>
      </c>
      <c r="C168" s="979" t="s">
        <v>990</v>
      </c>
      <c r="D168" s="980">
        <v>5250834</v>
      </c>
      <c r="E168" s="980">
        <v>997000</v>
      </c>
      <c r="F168" s="979" t="s">
        <v>1778</v>
      </c>
      <c r="G168" s="979" t="s">
        <v>1393</v>
      </c>
      <c r="H168" s="981">
        <v>0</v>
      </c>
      <c r="I168" s="982">
        <v>0</v>
      </c>
      <c r="J168" s="981">
        <f>0.5*0.8</f>
        <v>0.4</v>
      </c>
      <c r="K168" s="982">
        <v>56374</v>
      </c>
      <c r="L168" s="982"/>
      <c r="M168" s="982"/>
      <c r="N168" s="982"/>
      <c r="O168" s="982"/>
      <c r="P168" s="982"/>
      <c r="Q168" s="982"/>
      <c r="R168" s="982"/>
      <c r="S168" s="982"/>
      <c r="T168" s="982"/>
      <c r="U168" s="982"/>
      <c r="V168" s="981">
        <v>0</v>
      </c>
      <c r="W168" s="983">
        <v>0</v>
      </c>
      <c r="X168" s="741"/>
      <c r="Z168" s="899"/>
      <c r="AA168" s="899"/>
      <c r="AB168" s="899"/>
    </row>
    <row r="169" spans="1:28" hidden="1" x14ac:dyDescent="0.2">
      <c r="A169" s="978">
        <v>1</v>
      </c>
      <c r="B169" s="979" t="s">
        <v>982</v>
      </c>
      <c r="C169" s="979" t="s">
        <v>990</v>
      </c>
      <c r="D169" s="980">
        <v>5250845</v>
      </c>
      <c r="E169" s="980">
        <v>997000</v>
      </c>
      <c r="F169" s="979" t="s">
        <v>1778</v>
      </c>
      <c r="G169" s="979" t="s">
        <v>1393</v>
      </c>
      <c r="H169" s="981">
        <v>0</v>
      </c>
      <c r="I169" s="982">
        <v>0</v>
      </c>
      <c r="J169" s="981">
        <v>0.32</v>
      </c>
      <c r="K169" s="982">
        <v>53892</v>
      </c>
      <c r="L169" s="982"/>
      <c r="M169" s="982"/>
      <c r="N169" s="982"/>
      <c r="O169" s="982"/>
      <c r="P169" s="982"/>
      <c r="Q169" s="982"/>
      <c r="R169" s="982"/>
      <c r="S169" s="982"/>
      <c r="T169" s="982"/>
      <c r="U169" s="982"/>
      <c r="V169" s="981">
        <v>0</v>
      </c>
      <c r="W169" s="983">
        <v>0</v>
      </c>
      <c r="X169" s="741"/>
      <c r="Z169" s="899"/>
      <c r="AA169" s="899"/>
      <c r="AB169" s="899"/>
    </row>
    <row r="170" spans="1:28" ht="20.25" hidden="1" customHeight="1" x14ac:dyDescent="0.2">
      <c r="A170" s="1464" t="s">
        <v>1779</v>
      </c>
      <c r="B170" s="1464"/>
      <c r="C170" s="1464"/>
      <c r="D170" s="980"/>
      <c r="E170" s="980"/>
      <c r="F170" s="979"/>
      <c r="G170" s="979"/>
      <c r="H170" s="989">
        <f>SUM(H159:H169)</f>
        <v>0</v>
      </c>
      <c r="I170" s="989">
        <f>SUM(I159:I169)</f>
        <v>0</v>
      </c>
      <c r="J170" s="989">
        <f>SUM(J159:J169)</f>
        <v>4.2700000000000005</v>
      </c>
      <c r="K170" s="993">
        <f>SUM(K159:K169)</f>
        <v>961694</v>
      </c>
      <c r="L170" s="993"/>
      <c r="M170" s="993"/>
      <c r="N170" s="993"/>
      <c r="O170" s="993"/>
      <c r="P170" s="993"/>
      <c r="Q170" s="993"/>
      <c r="R170" s="993"/>
      <c r="S170" s="993"/>
      <c r="T170" s="993"/>
      <c r="U170" s="993"/>
      <c r="V170" s="989">
        <f>SUM(V159:V169)</f>
        <v>0</v>
      </c>
      <c r="W170" s="989">
        <v>0</v>
      </c>
      <c r="X170" s="471"/>
      <c r="Z170" s="899"/>
      <c r="AA170" s="899"/>
      <c r="AB170" s="899"/>
    </row>
  </sheetData>
  <autoFilter ref="A3:K170">
    <filterColumn colId="4">
      <filters>
        <filter val="823000"/>
        <filter val="824000"/>
        <filter val="825000"/>
        <filter val="828100"/>
        <filter val="829000"/>
      </filters>
    </filterColumn>
  </autoFilter>
  <sortState ref="A86:M156">
    <sortCondition ref="D86:D156"/>
  </sortState>
  <mergeCells count="5">
    <mergeCell ref="A170:C170"/>
    <mergeCell ref="A1:W1"/>
    <mergeCell ref="A2:W2"/>
    <mergeCell ref="A157:C157"/>
    <mergeCell ref="A158:F158"/>
  </mergeCells>
  <pageMargins left="0.19685039370078741" right="0.23622047244094491" top="0.74803149606299213" bottom="0.74803149606299213" header="0.31496062992125984" footer="0.31496062992125984"/>
  <pageSetup paperSize="9" scale="62" orientation="landscape" r:id="rId1"/>
  <headerFooter alignWithMargins="0">
    <oddFooter>עמוד &amp;P</oddFooter>
  </headerFooter>
  <rowBreaks count="1" manualBreakCount="1">
    <brk id="73" max="22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2"/>
  <sheetViews>
    <sheetView showGridLines="0" rightToLeft="1" view="pageBreakPreview" topLeftCell="A111" zoomScaleNormal="100" zoomScaleSheetLayoutView="100" workbookViewId="0">
      <selection activeCell="C123" sqref="C123"/>
    </sheetView>
  </sheetViews>
  <sheetFormatPr defaultColWidth="9.140625" defaultRowHeight="12.75" x14ac:dyDescent="0.2"/>
  <cols>
    <col min="1" max="1" width="5.7109375" style="919" customWidth="1"/>
    <col min="2" max="2" width="13" style="742" customWidth="1"/>
    <col min="3" max="4" width="9.140625" style="742" customWidth="1"/>
    <col min="5" max="5" width="7.28515625" style="742" customWidth="1"/>
    <col min="6" max="6" width="16.28515625" style="742" customWidth="1"/>
    <col min="7" max="7" width="19.5703125" style="742" customWidth="1"/>
    <col min="8" max="8" width="8.7109375" style="742" bestFit="1" customWidth="1"/>
    <col min="9" max="9" width="13.28515625" style="375" bestFit="1" customWidth="1"/>
    <col min="10" max="11" width="10.140625" style="375" customWidth="1"/>
    <col min="12" max="12" width="12.7109375" style="375" bestFit="1" customWidth="1"/>
    <col min="13" max="13" width="10.140625" style="375" customWidth="1"/>
    <col min="14" max="14" width="11.42578125" style="375" bestFit="1" customWidth="1"/>
    <col min="15" max="21" width="10.140625" style="375" customWidth="1"/>
    <col min="22" max="23" width="10.140625" style="375" hidden="1" customWidth="1"/>
    <col min="24" max="24" width="36.7109375" style="742" customWidth="1"/>
    <col min="25" max="25" width="9.140625" style="742" customWidth="1"/>
    <col min="26" max="28" width="0" style="742" hidden="1" customWidth="1"/>
    <col min="29" max="16384" width="9.140625" style="742"/>
  </cols>
  <sheetData>
    <row r="1" spans="1:28" s="355" customFormat="1" ht="18.75" x14ac:dyDescent="0.2">
      <c r="A1" s="1470" t="s">
        <v>0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  <c r="U1" s="1470"/>
      <c r="V1" s="1470"/>
      <c r="W1" s="1470"/>
    </row>
    <row r="2" spans="1:28" s="355" customFormat="1" ht="15.75" x14ac:dyDescent="0.2">
      <c r="A2" s="1471" t="s">
        <v>1838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</row>
    <row r="3" spans="1:28" s="896" customFormat="1" ht="33" customHeight="1" x14ac:dyDescent="0.2">
      <c r="A3" s="894" t="s">
        <v>1324</v>
      </c>
      <c r="B3" s="894" t="s">
        <v>1406</v>
      </c>
      <c r="C3" s="894" t="s">
        <v>917</v>
      </c>
      <c r="D3" s="894" t="s">
        <v>918</v>
      </c>
      <c r="E3" s="894" t="s">
        <v>1407</v>
      </c>
      <c r="F3" s="894" t="s">
        <v>1408</v>
      </c>
      <c r="G3" s="894" t="s">
        <v>1409</v>
      </c>
      <c r="H3" s="894" t="s">
        <v>1410</v>
      </c>
      <c r="I3" s="895" t="s">
        <v>1411</v>
      </c>
      <c r="J3" s="895" t="s">
        <v>1412</v>
      </c>
      <c r="K3" s="895" t="s">
        <v>1413</v>
      </c>
      <c r="L3" s="895" t="s">
        <v>2062</v>
      </c>
      <c r="M3" s="895" t="s">
        <v>2059</v>
      </c>
      <c r="N3" s="895" t="s">
        <v>2064</v>
      </c>
      <c r="O3" s="895" t="s">
        <v>2063</v>
      </c>
      <c r="P3" s="895" t="s">
        <v>2065</v>
      </c>
      <c r="Q3" s="895" t="s">
        <v>2066</v>
      </c>
      <c r="R3" s="895" t="s">
        <v>2067</v>
      </c>
      <c r="S3" s="895" t="s">
        <v>113</v>
      </c>
      <c r="T3" s="895" t="s">
        <v>2068</v>
      </c>
      <c r="U3" s="895" t="s">
        <v>2052</v>
      </c>
      <c r="V3" s="895" t="s">
        <v>1414</v>
      </c>
      <c r="W3" s="895" t="s">
        <v>1415</v>
      </c>
      <c r="Z3" s="894" t="s">
        <v>1790</v>
      </c>
      <c r="AA3" s="894" t="s">
        <v>1791</v>
      </c>
      <c r="AB3" s="894" t="s">
        <v>1784</v>
      </c>
    </row>
    <row r="4" spans="1:28" x14ac:dyDescent="0.2">
      <c r="A4" s="534">
        <v>1</v>
      </c>
      <c r="B4" s="441" t="s">
        <v>924</v>
      </c>
      <c r="C4" s="441" t="s">
        <v>1022</v>
      </c>
      <c r="D4" s="442">
        <v>5443083</v>
      </c>
      <c r="E4" s="442">
        <v>811000</v>
      </c>
      <c r="F4" s="441" t="s">
        <v>130</v>
      </c>
      <c r="G4" s="441" t="s">
        <v>1416</v>
      </c>
      <c r="H4" s="468">
        <v>1</v>
      </c>
      <c r="I4" s="443">
        <v>257564</v>
      </c>
      <c r="J4" s="468">
        <v>1</v>
      </c>
      <c r="K4" s="443">
        <f>22000+60000</f>
        <v>82000</v>
      </c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468">
        <v>1</v>
      </c>
      <c r="W4" s="443">
        <f>12000*12</f>
        <v>144000</v>
      </c>
      <c r="Z4" s="897">
        <v>237129</v>
      </c>
      <c r="AA4" s="897"/>
      <c r="AB4" s="897"/>
    </row>
    <row r="5" spans="1:28" x14ac:dyDescent="0.2">
      <c r="A5" s="534">
        <v>1</v>
      </c>
      <c r="B5" s="441" t="s">
        <v>1025</v>
      </c>
      <c r="C5" s="441" t="s">
        <v>1026</v>
      </c>
      <c r="D5" s="442">
        <v>2827928</v>
      </c>
      <c r="E5" s="442">
        <v>811000</v>
      </c>
      <c r="F5" s="441" t="s">
        <v>130</v>
      </c>
      <c r="G5" s="441" t="s">
        <v>1027</v>
      </c>
      <c r="H5" s="468">
        <v>1</v>
      </c>
      <c r="I5" s="443">
        <v>162838</v>
      </c>
      <c r="J5" s="468">
        <v>1</v>
      </c>
      <c r="K5" s="443">
        <v>160000</v>
      </c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468">
        <v>1</v>
      </c>
      <c r="W5" s="443">
        <v>160000</v>
      </c>
      <c r="Z5" s="897">
        <v>149450</v>
      </c>
      <c r="AA5" s="897"/>
      <c r="AB5" s="897"/>
    </row>
    <row r="6" spans="1:28" x14ac:dyDescent="0.2">
      <c r="A6" s="535">
        <v>1</v>
      </c>
      <c r="B6" s="374" t="s">
        <v>951</v>
      </c>
      <c r="C6" s="374" t="s">
        <v>1031</v>
      </c>
      <c r="D6" s="435">
        <v>4170918</v>
      </c>
      <c r="E6" s="435">
        <v>811000</v>
      </c>
      <c r="F6" s="374" t="s">
        <v>1417</v>
      </c>
      <c r="G6" s="374" t="s">
        <v>1418</v>
      </c>
      <c r="H6" s="466">
        <v>1</v>
      </c>
      <c r="I6" s="436">
        <v>77955</v>
      </c>
      <c r="J6" s="466">
        <v>1</v>
      </c>
      <c r="K6" s="436">
        <v>88000</v>
      </c>
      <c r="L6" s="1035"/>
      <c r="M6" s="1035"/>
      <c r="N6" s="1035"/>
      <c r="O6" s="1035"/>
      <c r="P6" s="1035"/>
      <c r="Q6" s="1035"/>
      <c r="R6" s="1035"/>
      <c r="S6" s="1035"/>
      <c r="T6" s="1035"/>
      <c r="U6" s="1035"/>
      <c r="V6" s="466">
        <v>1</v>
      </c>
      <c r="W6" s="436">
        <v>88000</v>
      </c>
      <c r="Z6" s="897">
        <v>70195</v>
      </c>
      <c r="AA6" s="897"/>
      <c r="AB6" s="897"/>
    </row>
    <row r="7" spans="1:28" s="748" customFormat="1" x14ac:dyDescent="0.2">
      <c r="A7" s="536"/>
      <c r="B7" s="537"/>
      <c r="C7" s="537"/>
      <c r="D7" s="537"/>
      <c r="E7" s="537"/>
      <c r="F7" s="537"/>
      <c r="G7" s="537"/>
      <c r="H7" s="789">
        <f>SUM(H4:H6)</f>
        <v>3</v>
      </c>
      <c r="I7" s="538">
        <f>SUM(I4:I6)</f>
        <v>498357</v>
      </c>
      <c r="J7" s="538">
        <f>SUM(J4:J6)</f>
        <v>3</v>
      </c>
      <c r="K7" s="538">
        <f>SUM(K4:K6)</f>
        <v>330000</v>
      </c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>
        <f>SUM(V4:V6)</f>
        <v>3</v>
      </c>
      <c r="W7" s="538">
        <f t="shared" ref="W7" si="0">SUM(W4:W6)</f>
        <v>392000</v>
      </c>
      <c r="Z7" s="910"/>
      <c r="AA7" s="897"/>
      <c r="AB7" s="897"/>
    </row>
    <row r="8" spans="1:28" x14ac:dyDescent="0.2">
      <c r="A8" s="535">
        <v>1</v>
      </c>
      <c r="B8" s="374" t="s">
        <v>1419</v>
      </c>
      <c r="C8" s="374" t="s">
        <v>1420</v>
      </c>
      <c r="D8" s="435">
        <v>2234672</v>
      </c>
      <c r="E8" s="435">
        <v>812200</v>
      </c>
      <c r="F8" s="374" t="s">
        <v>1421</v>
      </c>
      <c r="G8" s="374" t="s">
        <v>1422</v>
      </c>
      <c r="H8" s="466">
        <v>0.83</v>
      </c>
      <c r="I8" s="438">
        <v>84784</v>
      </c>
      <c r="J8" s="466">
        <v>0.83</v>
      </c>
      <c r="K8" s="438">
        <v>84784</v>
      </c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466">
        <v>0.83</v>
      </c>
      <c r="W8" s="438">
        <v>84784</v>
      </c>
      <c r="Z8" s="897">
        <v>78134</v>
      </c>
      <c r="AA8" s="897"/>
      <c r="AB8" s="897"/>
    </row>
    <row r="9" spans="1:28" x14ac:dyDescent="0.2">
      <c r="A9" s="535">
        <v>1</v>
      </c>
      <c r="B9" s="374" t="s">
        <v>1423</v>
      </c>
      <c r="C9" s="374" t="s">
        <v>1424</v>
      </c>
      <c r="D9" s="435">
        <v>2328691</v>
      </c>
      <c r="E9" s="435">
        <v>812200</v>
      </c>
      <c r="F9" s="374" t="s">
        <v>1421</v>
      </c>
      <c r="G9" s="374" t="s">
        <v>1422</v>
      </c>
      <c r="H9" s="466">
        <v>0.83</v>
      </c>
      <c r="I9" s="439">
        <v>97087</v>
      </c>
      <c r="J9" s="466">
        <v>0.83</v>
      </c>
      <c r="K9" s="439">
        <v>97087</v>
      </c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66">
        <v>0.83</v>
      </c>
      <c r="W9" s="439">
        <v>97087</v>
      </c>
      <c r="Z9" s="897">
        <v>89729</v>
      </c>
      <c r="AA9" s="897"/>
      <c r="AB9" s="897"/>
    </row>
    <row r="10" spans="1:28" x14ac:dyDescent="0.2">
      <c r="A10" s="535">
        <v>1</v>
      </c>
      <c r="B10" s="374" t="s">
        <v>1448</v>
      </c>
      <c r="C10" s="374" t="s">
        <v>1449</v>
      </c>
      <c r="D10" s="435">
        <v>2616472</v>
      </c>
      <c r="E10" s="435">
        <v>812200</v>
      </c>
      <c r="F10" s="374" t="s">
        <v>1421</v>
      </c>
      <c r="G10" s="374" t="s">
        <v>1447</v>
      </c>
      <c r="H10" s="466">
        <v>0.83</v>
      </c>
      <c r="I10" s="439">
        <v>55634</v>
      </c>
      <c r="J10" s="466">
        <v>0.82</v>
      </c>
      <c r="K10" s="439">
        <v>55634</v>
      </c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66">
        <v>0.82</v>
      </c>
      <c r="W10" s="439">
        <v>55634</v>
      </c>
      <c r="Z10" s="897">
        <v>74255</v>
      </c>
      <c r="AA10" s="897"/>
      <c r="AB10" s="897"/>
    </row>
    <row r="11" spans="1:28" x14ac:dyDescent="0.2">
      <c r="A11" s="535">
        <v>1</v>
      </c>
      <c r="B11" s="374" t="s">
        <v>1089</v>
      </c>
      <c r="C11" s="374" t="s">
        <v>1425</v>
      </c>
      <c r="D11" s="435">
        <v>2618870</v>
      </c>
      <c r="E11" s="435">
        <v>812200</v>
      </c>
      <c r="F11" s="374" t="s">
        <v>1421</v>
      </c>
      <c r="G11" s="374" t="s">
        <v>1422</v>
      </c>
      <c r="H11" s="466">
        <v>0.83</v>
      </c>
      <c r="I11" s="439">
        <v>80714</v>
      </c>
      <c r="J11" s="466">
        <v>0.83</v>
      </c>
      <c r="K11" s="439">
        <v>80714</v>
      </c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66">
        <v>0.83</v>
      </c>
      <c r="W11" s="439">
        <v>80714</v>
      </c>
      <c r="Z11" s="897">
        <v>74956</v>
      </c>
      <c r="AA11" s="897"/>
      <c r="AB11" s="897"/>
    </row>
    <row r="12" spans="1:28" x14ac:dyDescent="0.2">
      <c r="A12" s="535">
        <v>1</v>
      </c>
      <c r="B12" s="374" t="s">
        <v>1135</v>
      </c>
      <c r="C12" s="374" t="s">
        <v>1426</v>
      </c>
      <c r="D12" s="435">
        <v>2823141</v>
      </c>
      <c r="E12" s="435">
        <v>812200</v>
      </c>
      <c r="F12" s="374" t="s">
        <v>1421</v>
      </c>
      <c r="G12" s="374" t="s">
        <v>1422</v>
      </c>
      <c r="H12" s="466">
        <v>0.83</v>
      </c>
      <c r="I12" s="439">
        <v>81310</v>
      </c>
      <c r="J12" s="466">
        <v>0.83</v>
      </c>
      <c r="K12" s="439">
        <v>81310</v>
      </c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66">
        <v>0.83</v>
      </c>
      <c r="W12" s="439">
        <v>81310</v>
      </c>
      <c r="Z12" s="897">
        <v>86232</v>
      </c>
      <c r="AA12" s="897"/>
      <c r="AB12" s="897"/>
    </row>
    <row r="13" spans="1:28" x14ac:dyDescent="0.2">
      <c r="A13" s="535">
        <v>1</v>
      </c>
      <c r="B13" s="374" t="s">
        <v>1427</v>
      </c>
      <c r="C13" s="374" t="s">
        <v>1820</v>
      </c>
      <c r="D13" s="435">
        <v>2824458</v>
      </c>
      <c r="E13" s="435">
        <v>812200</v>
      </c>
      <c r="F13" s="374" t="s">
        <v>1421</v>
      </c>
      <c r="G13" s="374" t="s">
        <v>1422</v>
      </c>
      <c r="H13" s="466">
        <v>0.83</v>
      </c>
      <c r="I13" s="439">
        <v>94089</v>
      </c>
      <c r="J13" s="466">
        <v>0.83</v>
      </c>
      <c r="K13" s="439">
        <v>94089</v>
      </c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66">
        <v>0.83</v>
      </c>
      <c r="W13" s="439">
        <v>94089</v>
      </c>
      <c r="Z13" s="897">
        <v>91716</v>
      </c>
      <c r="AA13" s="897"/>
      <c r="AB13" s="897"/>
    </row>
    <row r="14" spans="1:28" x14ac:dyDescent="0.2">
      <c r="A14" s="535">
        <v>1</v>
      </c>
      <c r="B14" s="374" t="s">
        <v>951</v>
      </c>
      <c r="C14" s="374" t="s">
        <v>1428</v>
      </c>
      <c r="D14" s="435">
        <v>2827538</v>
      </c>
      <c r="E14" s="435">
        <v>812200</v>
      </c>
      <c r="F14" s="374" t="s">
        <v>1421</v>
      </c>
      <c r="G14" s="374" t="s">
        <v>1422</v>
      </c>
      <c r="H14" s="466">
        <v>0.83</v>
      </c>
      <c r="I14" s="439">
        <v>100973</v>
      </c>
      <c r="J14" s="466">
        <v>0.83</v>
      </c>
      <c r="K14" s="439">
        <v>100973</v>
      </c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66">
        <v>0.83</v>
      </c>
      <c r="W14" s="439">
        <v>100973</v>
      </c>
      <c r="Z14" s="897">
        <v>90943</v>
      </c>
      <c r="AA14" s="897"/>
      <c r="AB14" s="897"/>
    </row>
    <row r="15" spans="1:28" x14ac:dyDescent="0.2">
      <c r="A15" s="535">
        <v>1</v>
      </c>
      <c r="B15" s="374" t="s">
        <v>1052</v>
      </c>
      <c r="C15" s="374" t="s">
        <v>1429</v>
      </c>
      <c r="D15" s="435">
        <v>2921221</v>
      </c>
      <c r="E15" s="435">
        <v>812200</v>
      </c>
      <c r="F15" s="374" t="s">
        <v>1421</v>
      </c>
      <c r="G15" s="374" t="s">
        <v>1422</v>
      </c>
      <c r="H15" s="466">
        <v>0.83</v>
      </c>
      <c r="I15" s="439">
        <v>98970</v>
      </c>
      <c r="J15" s="466">
        <v>0.83</v>
      </c>
      <c r="K15" s="439">
        <v>98970</v>
      </c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66">
        <v>0.83</v>
      </c>
      <c r="W15" s="439">
        <v>98970</v>
      </c>
      <c r="Z15" s="897">
        <v>70334</v>
      </c>
      <c r="AA15" s="897"/>
      <c r="AB15" s="897"/>
    </row>
    <row r="16" spans="1:28" x14ac:dyDescent="0.2">
      <c r="A16" s="535">
        <v>1</v>
      </c>
      <c r="B16" s="374" t="s">
        <v>1430</v>
      </c>
      <c r="C16" s="374" t="s">
        <v>1431</v>
      </c>
      <c r="D16" s="435">
        <v>2996880</v>
      </c>
      <c r="E16" s="435">
        <v>812200</v>
      </c>
      <c r="F16" s="374" t="s">
        <v>1421</v>
      </c>
      <c r="G16" s="374" t="s">
        <v>1422</v>
      </c>
      <c r="H16" s="466">
        <v>0.83</v>
      </c>
      <c r="I16" s="439">
        <v>76968</v>
      </c>
      <c r="J16" s="466">
        <v>0.83</v>
      </c>
      <c r="K16" s="439">
        <v>76968</v>
      </c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66">
        <v>0.83</v>
      </c>
      <c r="W16" s="439">
        <v>76968</v>
      </c>
      <c r="Z16" s="897">
        <v>50811</v>
      </c>
      <c r="AA16" s="897"/>
      <c r="AB16" s="897"/>
    </row>
    <row r="17" spans="1:28" x14ac:dyDescent="0.2">
      <c r="A17" s="535">
        <v>19</v>
      </c>
      <c r="B17" s="374" t="s">
        <v>1045</v>
      </c>
      <c r="C17" s="374" t="s">
        <v>1445</v>
      </c>
      <c r="D17" s="435">
        <v>3292292</v>
      </c>
      <c r="E17" s="435">
        <v>812200</v>
      </c>
      <c r="F17" s="374" t="s">
        <v>1421</v>
      </c>
      <c r="G17" s="374" t="s">
        <v>1447</v>
      </c>
      <c r="H17" s="466">
        <f>35/42.5</f>
        <v>0.82352941176470584</v>
      </c>
      <c r="I17" s="439">
        <v>50438</v>
      </c>
      <c r="J17" s="466">
        <f>35/42.5</f>
        <v>0.82352941176470584</v>
      </c>
      <c r="K17" s="439">
        <v>50438</v>
      </c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66">
        <f>35/42.5</f>
        <v>0.82352941176470584</v>
      </c>
      <c r="W17" s="439">
        <v>50438</v>
      </c>
      <c r="Z17" s="897">
        <v>91762</v>
      </c>
      <c r="AA17" s="897"/>
      <c r="AB17" s="897"/>
    </row>
    <row r="18" spans="1:28" x14ac:dyDescent="0.2">
      <c r="A18" s="994">
        <v>1</v>
      </c>
      <c r="B18" s="995" t="s">
        <v>924</v>
      </c>
      <c r="C18" s="995" t="s">
        <v>1105</v>
      </c>
      <c r="D18" s="996">
        <v>3443238</v>
      </c>
      <c r="E18" s="996">
        <v>812200</v>
      </c>
      <c r="F18" s="995" t="s">
        <v>1421</v>
      </c>
      <c r="G18" s="995" t="s">
        <v>1422</v>
      </c>
      <c r="H18" s="997">
        <v>0.83</v>
      </c>
      <c r="I18" s="998">
        <v>57554</v>
      </c>
      <c r="J18" s="997">
        <v>0.83</v>
      </c>
      <c r="K18" s="998">
        <v>57554</v>
      </c>
      <c r="L18" s="998"/>
      <c r="M18" s="998"/>
      <c r="N18" s="998"/>
      <c r="O18" s="998"/>
      <c r="P18" s="998"/>
      <c r="Q18" s="998"/>
      <c r="R18" s="998"/>
      <c r="S18" s="998"/>
      <c r="T18" s="998"/>
      <c r="U18" s="998"/>
      <c r="V18" s="997">
        <v>0.83</v>
      </c>
      <c r="W18" s="998">
        <v>0</v>
      </c>
      <c r="Z18" s="897">
        <v>73136</v>
      </c>
      <c r="AA18" s="897"/>
      <c r="AB18" s="897"/>
    </row>
    <row r="19" spans="1:28" x14ac:dyDescent="0.2">
      <c r="A19" s="994">
        <v>1</v>
      </c>
      <c r="B19" s="995" t="s">
        <v>1432</v>
      </c>
      <c r="C19" s="995" t="s">
        <v>1433</v>
      </c>
      <c r="D19" s="996">
        <v>3452404</v>
      </c>
      <c r="E19" s="996">
        <v>812200</v>
      </c>
      <c r="F19" s="995" t="s">
        <v>1421</v>
      </c>
      <c r="G19" s="995" t="s">
        <v>1422</v>
      </c>
      <c r="H19" s="997">
        <v>0.83</v>
      </c>
      <c r="I19" s="998">
        <v>99462</v>
      </c>
      <c r="J19" s="997">
        <v>0.83</v>
      </c>
      <c r="K19" s="998">
        <v>99462</v>
      </c>
      <c r="L19" s="998"/>
      <c r="M19" s="998"/>
      <c r="N19" s="998"/>
      <c r="O19" s="998"/>
      <c r="P19" s="998"/>
      <c r="Q19" s="998"/>
      <c r="R19" s="998"/>
      <c r="S19" s="998"/>
      <c r="T19" s="998"/>
      <c r="U19" s="998"/>
      <c r="V19" s="997">
        <v>0.83</v>
      </c>
      <c r="W19" s="998">
        <v>99462</v>
      </c>
      <c r="Z19" s="897">
        <v>80270</v>
      </c>
      <c r="AA19" s="897"/>
      <c r="AB19" s="897"/>
    </row>
    <row r="20" spans="1:28" x14ac:dyDescent="0.2">
      <c r="A20" s="994">
        <v>1</v>
      </c>
      <c r="B20" s="995" t="s">
        <v>948</v>
      </c>
      <c r="C20" s="995" t="s">
        <v>1456</v>
      </c>
      <c r="D20" s="996">
        <v>3457700</v>
      </c>
      <c r="E20" s="996">
        <v>812200</v>
      </c>
      <c r="F20" s="995" t="s">
        <v>1421</v>
      </c>
      <c r="G20" s="995" t="s">
        <v>1447</v>
      </c>
      <c r="H20" s="997">
        <f>35/42.5</f>
        <v>0.82352941176470584</v>
      </c>
      <c r="I20" s="998">
        <v>33737</v>
      </c>
      <c r="J20" s="997">
        <f>35/42.5</f>
        <v>0.82352941176470584</v>
      </c>
      <c r="K20" s="998">
        <v>33737</v>
      </c>
      <c r="L20" s="998"/>
      <c r="M20" s="998"/>
      <c r="N20" s="998"/>
      <c r="O20" s="998"/>
      <c r="P20" s="998"/>
      <c r="Q20" s="998"/>
      <c r="R20" s="998"/>
      <c r="S20" s="998"/>
      <c r="T20" s="998"/>
      <c r="U20" s="998"/>
      <c r="V20" s="997">
        <f>35/42.5</f>
        <v>0.82352941176470584</v>
      </c>
      <c r="W20" s="998">
        <v>0</v>
      </c>
      <c r="Z20" s="897">
        <v>88959</v>
      </c>
      <c r="AA20" s="897"/>
      <c r="AB20" s="897"/>
    </row>
    <row r="21" spans="1:28" x14ac:dyDescent="0.2">
      <c r="A21" s="994">
        <v>1</v>
      </c>
      <c r="B21" s="995" t="s">
        <v>1434</v>
      </c>
      <c r="C21" s="995" t="s">
        <v>1435</v>
      </c>
      <c r="D21" s="996">
        <v>3644372</v>
      </c>
      <c r="E21" s="996">
        <v>812200</v>
      </c>
      <c r="F21" s="995" t="s">
        <v>1421</v>
      </c>
      <c r="G21" s="995" t="s">
        <v>1422</v>
      </c>
      <c r="H21" s="997">
        <v>0.83</v>
      </c>
      <c r="I21" s="998">
        <v>76590</v>
      </c>
      <c r="J21" s="997">
        <v>0.83</v>
      </c>
      <c r="K21" s="998">
        <v>76590</v>
      </c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7">
        <v>0.83</v>
      </c>
      <c r="W21" s="998">
        <v>0</v>
      </c>
      <c r="Z21" s="897">
        <v>79067</v>
      </c>
      <c r="AA21" s="897"/>
      <c r="AB21" s="897"/>
    </row>
    <row r="22" spans="1:28" x14ac:dyDescent="0.2">
      <c r="A22" s="994">
        <v>19</v>
      </c>
      <c r="B22" s="995" t="s">
        <v>1045</v>
      </c>
      <c r="C22" s="995" t="s">
        <v>1446</v>
      </c>
      <c r="D22" s="996">
        <v>3945702</v>
      </c>
      <c r="E22" s="996">
        <v>812200</v>
      </c>
      <c r="F22" s="995" t="s">
        <v>1421</v>
      </c>
      <c r="G22" s="995" t="s">
        <v>1468</v>
      </c>
      <c r="H22" s="997">
        <f>35/42.5</f>
        <v>0.82352941176470584</v>
      </c>
      <c r="I22" s="998">
        <v>38388</v>
      </c>
      <c r="J22" s="997">
        <f>35/42.5</f>
        <v>0.82352941176470584</v>
      </c>
      <c r="K22" s="998">
        <v>38388</v>
      </c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7">
        <f>35/42.5</f>
        <v>0.82352941176470584</v>
      </c>
      <c r="W22" s="998">
        <v>38388</v>
      </c>
      <c r="Z22" s="897">
        <v>86232</v>
      </c>
      <c r="AA22" s="897"/>
      <c r="AB22" s="897"/>
    </row>
    <row r="23" spans="1:28" x14ac:dyDescent="0.2">
      <c r="A23" s="994">
        <v>1</v>
      </c>
      <c r="B23" s="995" t="s">
        <v>1116</v>
      </c>
      <c r="C23" s="995" t="s">
        <v>1453</v>
      </c>
      <c r="D23" s="996">
        <v>4052129</v>
      </c>
      <c r="E23" s="996">
        <v>812200</v>
      </c>
      <c r="F23" s="995" t="s">
        <v>1421</v>
      </c>
      <c r="G23" s="995" t="s">
        <v>1447</v>
      </c>
      <c r="H23" s="997">
        <f>35/42.5</f>
        <v>0.82352941176470584</v>
      </c>
      <c r="I23" s="998">
        <v>60095</v>
      </c>
      <c r="J23" s="997">
        <f>35/42.5</f>
        <v>0.82352941176470584</v>
      </c>
      <c r="K23" s="998">
        <v>60095</v>
      </c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7">
        <f>35/42.5</f>
        <v>0.82352941176470584</v>
      </c>
      <c r="W23" s="998">
        <v>60095</v>
      </c>
      <c r="Z23" s="897">
        <v>82837</v>
      </c>
      <c r="AA23" s="897"/>
      <c r="AB23" s="897"/>
    </row>
    <row r="24" spans="1:28" x14ac:dyDescent="0.2">
      <c r="A24" s="994">
        <v>1</v>
      </c>
      <c r="B24" s="995" t="s">
        <v>1450</v>
      </c>
      <c r="C24" s="995" t="s">
        <v>1128</v>
      </c>
      <c r="D24" s="996">
        <v>4093593</v>
      </c>
      <c r="E24" s="996">
        <v>812200</v>
      </c>
      <c r="F24" s="995" t="s">
        <v>1421</v>
      </c>
      <c r="G24" s="995" t="s">
        <v>1447</v>
      </c>
      <c r="H24" s="997">
        <f>39/42.5</f>
        <v>0.91764705882352937</v>
      </c>
      <c r="I24" s="998">
        <v>26594</v>
      </c>
      <c r="J24" s="997">
        <v>0</v>
      </c>
      <c r="K24" s="998">
        <v>26594</v>
      </c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7">
        <v>0</v>
      </c>
      <c r="W24" s="998">
        <v>0</v>
      </c>
      <c r="Z24" s="897">
        <v>94419</v>
      </c>
      <c r="AA24" s="897"/>
      <c r="AB24" s="897"/>
    </row>
    <row r="25" spans="1:28" x14ac:dyDescent="0.2">
      <c r="A25" s="535">
        <v>1</v>
      </c>
      <c r="B25" s="374" t="s">
        <v>1436</v>
      </c>
      <c r="C25" s="374" t="s">
        <v>1437</v>
      </c>
      <c r="D25" s="435">
        <v>5371560</v>
      </c>
      <c r="E25" s="435">
        <v>812200</v>
      </c>
      <c r="F25" s="374" t="s">
        <v>1421</v>
      </c>
      <c r="G25" s="374" t="s">
        <v>1422</v>
      </c>
      <c r="H25" s="466">
        <v>0.83</v>
      </c>
      <c r="I25" s="439">
        <v>87434</v>
      </c>
      <c r="J25" s="466">
        <v>0.83</v>
      </c>
      <c r="K25" s="439">
        <v>87434</v>
      </c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66">
        <v>0.83</v>
      </c>
      <c r="W25" s="439">
        <v>87434</v>
      </c>
      <c r="Z25" s="897">
        <v>73335</v>
      </c>
      <c r="AA25" s="897"/>
      <c r="AB25" s="897"/>
    </row>
    <row r="26" spans="1:28" x14ac:dyDescent="0.2">
      <c r="A26" s="535">
        <v>1</v>
      </c>
      <c r="B26" s="374" t="s">
        <v>1454</v>
      </c>
      <c r="C26" s="374" t="s">
        <v>1455</v>
      </c>
      <c r="D26" s="435">
        <v>5576214</v>
      </c>
      <c r="E26" s="435">
        <v>812200</v>
      </c>
      <c r="F26" s="374" t="s">
        <v>1421</v>
      </c>
      <c r="G26" s="374" t="s">
        <v>1447</v>
      </c>
      <c r="H26" s="466">
        <f>35/42.5</f>
        <v>0.82352941176470584</v>
      </c>
      <c r="I26" s="439">
        <v>58927</v>
      </c>
      <c r="J26" s="466">
        <f>35/42.5</f>
        <v>0.82352941176470584</v>
      </c>
      <c r="K26" s="439">
        <v>58927</v>
      </c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66">
        <f>35/42.5</f>
        <v>0.82352941176470584</v>
      </c>
      <c r="W26" s="439">
        <v>58927</v>
      </c>
      <c r="Z26" s="897"/>
      <c r="AA26" s="897"/>
      <c r="AB26" s="897"/>
    </row>
    <row r="27" spans="1:28" x14ac:dyDescent="0.2">
      <c r="A27" s="535">
        <v>1</v>
      </c>
      <c r="B27" s="374" t="s">
        <v>1438</v>
      </c>
      <c r="C27" s="374" t="s">
        <v>1439</v>
      </c>
      <c r="D27" s="435">
        <v>5631585</v>
      </c>
      <c r="E27" s="435">
        <v>812200</v>
      </c>
      <c r="F27" s="374" t="s">
        <v>1421</v>
      </c>
      <c r="G27" s="374" t="s">
        <v>1422</v>
      </c>
      <c r="H27" s="466">
        <v>0.83</v>
      </c>
      <c r="I27" s="439">
        <v>96740</v>
      </c>
      <c r="J27" s="466">
        <v>0.83</v>
      </c>
      <c r="K27" s="439">
        <v>96740</v>
      </c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66">
        <v>0.83</v>
      </c>
      <c r="W27" s="439">
        <v>96740</v>
      </c>
      <c r="Z27" s="897">
        <v>45362</v>
      </c>
      <c r="AA27" s="897"/>
      <c r="AB27" s="897"/>
    </row>
    <row r="28" spans="1:28" x14ac:dyDescent="0.2">
      <c r="A28" s="535">
        <v>1</v>
      </c>
      <c r="B28" s="377" t="s">
        <v>1392</v>
      </c>
      <c r="C28" s="377" t="s">
        <v>1440</v>
      </c>
      <c r="D28" s="437">
        <v>5692004</v>
      </c>
      <c r="E28" s="437">
        <v>812200</v>
      </c>
      <c r="F28" s="374" t="s">
        <v>1421</v>
      </c>
      <c r="G28" s="374" t="s">
        <v>1422</v>
      </c>
      <c r="H28" s="467">
        <v>0.83</v>
      </c>
      <c r="I28" s="439">
        <v>86043</v>
      </c>
      <c r="J28" s="467">
        <v>0.83</v>
      </c>
      <c r="K28" s="439">
        <v>86043</v>
      </c>
      <c r="L28" s="1037"/>
      <c r="M28" s="1037"/>
      <c r="N28" s="1037"/>
      <c r="O28" s="1037"/>
      <c r="P28" s="1037"/>
      <c r="Q28" s="1037"/>
      <c r="R28" s="1037"/>
      <c r="S28" s="1037"/>
      <c r="T28" s="1037"/>
      <c r="U28" s="1037"/>
      <c r="V28" s="467">
        <v>0.83</v>
      </c>
      <c r="W28" s="439">
        <v>86043</v>
      </c>
      <c r="Z28" s="897">
        <f>7973+4294</f>
        <v>12267</v>
      </c>
      <c r="AA28" s="897"/>
      <c r="AB28" s="897"/>
    </row>
    <row r="29" spans="1:28" x14ac:dyDescent="0.2">
      <c r="A29" s="535">
        <v>1</v>
      </c>
      <c r="B29" s="377" t="s">
        <v>1441</v>
      </c>
      <c r="C29" s="377" t="s">
        <v>1442</v>
      </c>
      <c r="D29" s="437">
        <v>5698805</v>
      </c>
      <c r="E29" s="437">
        <v>812200</v>
      </c>
      <c r="F29" s="377" t="s">
        <v>1421</v>
      </c>
      <c r="G29" s="377" t="s">
        <v>1422</v>
      </c>
      <c r="H29" s="467">
        <v>0.83</v>
      </c>
      <c r="I29" s="439">
        <v>93716</v>
      </c>
      <c r="J29" s="467">
        <v>0.83</v>
      </c>
      <c r="K29" s="439">
        <v>93716</v>
      </c>
      <c r="L29" s="1037"/>
      <c r="M29" s="1037"/>
      <c r="N29" s="1037"/>
      <c r="O29" s="1037"/>
      <c r="P29" s="1037"/>
      <c r="Q29" s="1037"/>
      <c r="R29" s="1037"/>
      <c r="S29" s="1037"/>
      <c r="T29" s="1037"/>
      <c r="U29" s="1037"/>
      <c r="V29" s="467">
        <v>0.83</v>
      </c>
      <c r="W29" s="439">
        <v>93716</v>
      </c>
      <c r="Z29" s="897">
        <v>33487</v>
      </c>
      <c r="AA29" s="897"/>
      <c r="AB29" s="897"/>
    </row>
    <row r="30" spans="1:28" x14ac:dyDescent="0.2">
      <c r="A30" s="535">
        <v>1</v>
      </c>
      <c r="B30" s="374" t="s">
        <v>955</v>
      </c>
      <c r="C30" s="374" t="s">
        <v>1110</v>
      </c>
      <c r="D30" s="435">
        <v>5854289</v>
      </c>
      <c r="E30" s="437">
        <v>812200</v>
      </c>
      <c r="F30" s="377" t="s">
        <v>1421</v>
      </c>
      <c r="G30" s="374" t="s">
        <v>1422</v>
      </c>
      <c r="H30" s="466">
        <v>0.83</v>
      </c>
      <c r="I30" s="439">
        <v>90269</v>
      </c>
      <c r="J30" s="466">
        <v>0.83</v>
      </c>
      <c r="K30" s="439">
        <v>90269</v>
      </c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66">
        <v>0.83</v>
      </c>
      <c r="W30" s="439">
        <v>90269</v>
      </c>
      <c r="Z30" s="897">
        <v>50367</v>
      </c>
      <c r="AA30" s="897"/>
      <c r="AB30" s="897"/>
    </row>
    <row r="31" spans="1:28" x14ac:dyDescent="0.2">
      <c r="A31" s="535">
        <v>1</v>
      </c>
      <c r="B31" s="374" t="s">
        <v>924</v>
      </c>
      <c r="C31" s="374" t="s">
        <v>1444</v>
      </c>
      <c r="D31" s="435">
        <v>5859254</v>
      </c>
      <c r="E31" s="437">
        <v>812200</v>
      </c>
      <c r="F31" s="377" t="s">
        <v>1421</v>
      </c>
      <c r="G31" s="374" t="s">
        <v>1422</v>
      </c>
      <c r="H31" s="466">
        <v>0.83</v>
      </c>
      <c r="I31" s="439">
        <v>79638</v>
      </c>
      <c r="J31" s="466">
        <v>0.83</v>
      </c>
      <c r="K31" s="439">
        <v>79638</v>
      </c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66">
        <v>0.83</v>
      </c>
      <c r="W31" s="439">
        <v>79638</v>
      </c>
      <c r="X31" s="911"/>
      <c r="Z31" s="897">
        <v>13068</v>
      </c>
      <c r="AA31" s="897"/>
      <c r="AB31" s="897"/>
    </row>
    <row r="32" spans="1:28" x14ac:dyDescent="0.2">
      <c r="A32" s="535">
        <v>1</v>
      </c>
      <c r="B32" s="374" t="s">
        <v>983</v>
      </c>
      <c r="C32" s="374" t="s">
        <v>1443</v>
      </c>
      <c r="D32" s="435">
        <v>5931960</v>
      </c>
      <c r="E32" s="437">
        <v>812200</v>
      </c>
      <c r="F32" s="377" t="s">
        <v>1421</v>
      </c>
      <c r="G32" s="374" t="s">
        <v>1422</v>
      </c>
      <c r="H32" s="466">
        <v>0.83</v>
      </c>
      <c r="I32" s="439">
        <v>102262</v>
      </c>
      <c r="J32" s="466">
        <v>0.83</v>
      </c>
      <c r="K32" s="439">
        <v>102262</v>
      </c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66">
        <v>0.83</v>
      </c>
      <c r="W32" s="439">
        <v>102262</v>
      </c>
      <c r="Z32" s="897">
        <v>40335</v>
      </c>
      <c r="AA32" s="897"/>
      <c r="AB32" s="897"/>
    </row>
    <row r="33" spans="1:28" x14ac:dyDescent="0.2">
      <c r="A33" s="535">
        <v>1</v>
      </c>
      <c r="B33" s="374" t="s">
        <v>1116</v>
      </c>
      <c r="C33" s="374" t="s">
        <v>1117</v>
      </c>
      <c r="D33" s="435">
        <v>5938514</v>
      </c>
      <c r="E33" s="437">
        <v>812200</v>
      </c>
      <c r="F33" s="377" t="s">
        <v>1421</v>
      </c>
      <c r="G33" s="374" t="s">
        <v>1447</v>
      </c>
      <c r="H33" s="466">
        <f>35/42.5</f>
        <v>0.82352941176470584</v>
      </c>
      <c r="I33" s="439">
        <v>7973</v>
      </c>
      <c r="J33" s="466">
        <f>35/42.5</f>
        <v>0.82352941176470584</v>
      </c>
      <c r="K33" s="439">
        <v>7973</v>
      </c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66">
        <f>35/42.5</f>
        <v>0.82352941176470584</v>
      </c>
      <c r="W33" s="439">
        <v>7973</v>
      </c>
      <c r="Z33" s="897">
        <v>54951</v>
      </c>
      <c r="AA33" s="897"/>
      <c r="AB33" s="897"/>
    </row>
    <row r="34" spans="1:28" x14ac:dyDescent="0.2">
      <c r="A34" s="994">
        <v>1</v>
      </c>
      <c r="B34" s="995" t="s">
        <v>955</v>
      </c>
      <c r="C34" s="995" t="s">
        <v>1402</v>
      </c>
      <c r="D34" s="996">
        <v>25879008</v>
      </c>
      <c r="E34" s="999">
        <v>812200</v>
      </c>
      <c r="F34" s="1000" t="s">
        <v>1421</v>
      </c>
      <c r="G34" s="995" t="s">
        <v>1447</v>
      </c>
      <c r="H34" s="997">
        <f>37/42.5</f>
        <v>0.87058823529411766</v>
      </c>
      <c r="I34" s="998">
        <v>33486</v>
      </c>
      <c r="J34" s="997">
        <v>0</v>
      </c>
      <c r="K34" s="998">
        <v>0</v>
      </c>
      <c r="L34" s="998"/>
      <c r="M34" s="998"/>
      <c r="N34" s="998"/>
      <c r="O34" s="998"/>
      <c r="P34" s="998"/>
      <c r="Q34" s="998"/>
      <c r="R34" s="998"/>
      <c r="S34" s="998"/>
      <c r="T34" s="998"/>
      <c r="U34" s="998"/>
      <c r="V34" s="997">
        <v>0</v>
      </c>
      <c r="W34" s="998">
        <v>0</v>
      </c>
      <c r="Z34" s="897">
        <v>53325</v>
      </c>
      <c r="AA34" s="897"/>
      <c r="AB34" s="897"/>
    </row>
    <row r="35" spans="1:28" x14ac:dyDescent="0.2">
      <c r="A35" s="535">
        <v>1</v>
      </c>
      <c r="B35" s="374" t="s">
        <v>1451</v>
      </c>
      <c r="C35" s="374" t="s">
        <v>1452</v>
      </c>
      <c r="D35" s="435">
        <v>30017481</v>
      </c>
      <c r="E35" s="437">
        <v>812200</v>
      </c>
      <c r="F35" s="377" t="s">
        <v>1421</v>
      </c>
      <c r="G35" s="374" t="s">
        <v>1447</v>
      </c>
      <c r="H35" s="466">
        <f>35/42.5</f>
        <v>0.82352941176470584</v>
      </c>
      <c r="I35" s="439">
        <v>44574</v>
      </c>
      <c r="J35" s="466">
        <f>35/42.5</f>
        <v>0.82352941176470584</v>
      </c>
      <c r="K35" s="439">
        <v>44574</v>
      </c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66">
        <f>35/42.5</f>
        <v>0.82352941176470584</v>
      </c>
      <c r="W35" s="439">
        <v>44574</v>
      </c>
      <c r="Z35" s="897">
        <f>33736+2655</f>
        <v>36391</v>
      </c>
      <c r="AA35" s="897"/>
      <c r="AB35" s="897"/>
    </row>
    <row r="36" spans="1:28" x14ac:dyDescent="0.2">
      <c r="A36" s="535">
        <v>1</v>
      </c>
      <c r="B36" s="374" t="s">
        <v>1399</v>
      </c>
      <c r="C36" s="374" t="s">
        <v>1465</v>
      </c>
      <c r="D36" s="435">
        <v>30305092</v>
      </c>
      <c r="E36" s="437">
        <v>812200</v>
      </c>
      <c r="F36" s="377" t="s">
        <v>1421</v>
      </c>
      <c r="G36" s="374" t="s">
        <v>1707</v>
      </c>
      <c r="H36" s="756">
        <v>0.52</v>
      </c>
      <c r="I36" s="439">
        <v>10429</v>
      </c>
      <c r="J36" s="466">
        <v>0.52</v>
      </c>
      <c r="K36" s="439">
        <v>45000</v>
      </c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66">
        <v>0.52</v>
      </c>
      <c r="W36" s="439">
        <v>0</v>
      </c>
      <c r="Z36" s="897">
        <v>4592</v>
      </c>
      <c r="AA36" s="897"/>
      <c r="AB36" s="897"/>
    </row>
    <row r="37" spans="1:28" s="912" customFormat="1" x14ac:dyDescent="0.2">
      <c r="A37" s="539"/>
      <c r="B37" s="484"/>
      <c r="C37" s="484"/>
      <c r="D37" s="485"/>
      <c r="E37" s="485"/>
      <c r="F37" s="484"/>
      <c r="G37" s="484"/>
      <c r="H37" s="789">
        <f t="shared" ref="H37:W37" si="1">SUM(H8:H36)</f>
        <v>23.842941176470582</v>
      </c>
      <c r="I37" s="487">
        <f>SUM(I8:I36)</f>
        <v>2004878</v>
      </c>
      <c r="J37" s="932">
        <f t="shared" si="1"/>
        <v>22.044705882352936</v>
      </c>
      <c r="K37" s="487">
        <f t="shared" si="1"/>
        <v>2005963</v>
      </c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932">
        <f t="shared" si="1"/>
        <v>22.044705882352936</v>
      </c>
      <c r="W37" s="487">
        <f t="shared" si="1"/>
        <v>1766488</v>
      </c>
      <c r="Z37" s="897"/>
      <c r="AA37" s="897"/>
      <c r="AB37" s="897"/>
    </row>
    <row r="38" spans="1:28" x14ac:dyDescent="0.2">
      <c r="A38" s="535"/>
      <c r="B38" s="374" t="s">
        <v>951</v>
      </c>
      <c r="C38" s="374" t="s">
        <v>1828</v>
      </c>
      <c r="D38" s="435">
        <v>2597378</v>
      </c>
      <c r="E38" s="435">
        <v>812201</v>
      </c>
      <c r="F38" s="374" t="s">
        <v>1473</v>
      </c>
      <c r="G38" s="374" t="s">
        <v>1422</v>
      </c>
      <c r="H38" s="997">
        <v>0.22</v>
      </c>
      <c r="I38" s="998">
        <v>45352</v>
      </c>
      <c r="J38" s="997">
        <v>0.22</v>
      </c>
      <c r="K38" s="998">
        <v>48000</v>
      </c>
      <c r="L38" s="998"/>
      <c r="M38" s="998"/>
      <c r="N38" s="998"/>
      <c r="O38" s="998"/>
      <c r="P38" s="998"/>
      <c r="Q38" s="998"/>
      <c r="R38" s="998"/>
      <c r="S38" s="998"/>
      <c r="T38" s="998"/>
      <c r="U38" s="998"/>
      <c r="V38" s="997">
        <v>0.22</v>
      </c>
      <c r="W38" s="998">
        <v>48000</v>
      </c>
      <c r="X38" s="12"/>
      <c r="Z38" s="208"/>
      <c r="AA38" s="897"/>
      <c r="AB38" s="897"/>
    </row>
    <row r="39" spans="1:28" x14ac:dyDescent="0.2">
      <c r="A39" s="535">
        <v>1</v>
      </c>
      <c r="B39" s="374" t="s">
        <v>1794</v>
      </c>
      <c r="C39" s="374" t="s">
        <v>1795</v>
      </c>
      <c r="D39" s="435">
        <v>2656603</v>
      </c>
      <c r="E39" s="435">
        <v>812201</v>
      </c>
      <c r="F39" s="374" t="s">
        <v>1473</v>
      </c>
      <c r="G39" s="374" t="s">
        <v>1422</v>
      </c>
      <c r="H39" s="997">
        <v>0.22</v>
      </c>
      <c r="I39" s="998">
        <v>2706</v>
      </c>
      <c r="J39" s="997">
        <v>0.22</v>
      </c>
      <c r="K39" s="998">
        <v>30000</v>
      </c>
      <c r="L39" s="998"/>
      <c r="M39" s="998"/>
      <c r="N39" s="998"/>
      <c r="O39" s="998"/>
      <c r="P39" s="998"/>
      <c r="Q39" s="998"/>
      <c r="R39" s="998"/>
      <c r="S39" s="998"/>
      <c r="T39" s="998"/>
      <c r="U39" s="998"/>
      <c r="V39" s="997">
        <v>0.22</v>
      </c>
      <c r="W39" s="998">
        <v>30000</v>
      </c>
      <c r="X39" s="12"/>
      <c r="Z39" s="208">
        <v>40960</v>
      </c>
      <c r="AA39" s="897"/>
      <c r="AB39" s="897"/>
    </row>
    <row r="40" spans="1:28" x14ac:dyDescent="0.2">
      <c r="A40" s="535">
        <v>1</v>
      </c>
      <c r="B40" s="374" t="s">
        <v>1436</v>
      </c>
      <c r="C40" s="374" t="s">
        <v>1458</v>
      </c>
      <c r="D40" s="435">
        <v>2750519</v>
      </c>
      <c r="E40" s="435">
        <v>812201</v>
      </c>
      <c r="F40" s="374" t="s">
        <v>1457</v>
      </c>
      <c r="G40" s="374" t="s">
        <v>1422</v>
      </c>
      <c r="H40" s="997">
        <f>18/42.5</f>
        <v>0.42352941176470588</v>
      </c>
      <c r="I40" s="998">
        <v>31791</v>
      </c>
      <c r="J40" s="997">
        <f>18/42.5</f>
        <v>0.42352941176470588</v>
      </c>
      <c r="K40" s="998">
        <v>32000</v>
      </c>
      <c r="L40" s="998"/>
      <c r="M40" s="998"/>
      <c r="N40" s="998"/>
      <c r="O40" s="998"/>
      <c r="P40" s="998"/>
      <c r="Q40" s="998"/>
      <c r="R40" s="998"/>
      <c r="S40" s="998"/>
      <c r="T40" s="998"/>
      <c r="U40" s="998"/>
      <c r="V40" s="997">
        <f>18/42.5</f>
        <v>0.42352941176470588</v>
      </c>
      <c r="W40" s="998">
        <v>32000</v>
      </c>
      <c r="X40" s="12"/>
      <c r="Y40" s="913"/>
      <c r="Z40" s="208">
        <v>29037</v>
      </c>
      <c r="AA40" s="897"/>
      <c r="AB40" s="897"/>
    </row>
    <row r="41" spans="1:28" s="911" customFormat="1" x14ac:dyDescent="0.2">
      <c r="A41" s="994">
        <v>1</v>
      </c>
      <c r="B41" s="995" t="s">
        <v>1438</v>
      </c>
      <c r="C41" s="995" t="s">
        <v>1461</v>
      </c>
      <c r="D41" s="996">
        <v>2996822</v>
      </c>
      <c r="E41" s="996">
        <v>812201</v>
      </c>
      <c r="F41" s="995" t="s">
        <v>1462</v>
      </c>
      <c r="G41" s="995" t="s">
        <v>1422</v>
      </c>
      <c r="H41" s="997">
        <f>30/42.5</f>
        <v>0.70588235294117652</v>
      </c>
      <c r="I41" s="998">
        <v>25612</v>
      </c>
      <c r="J41" s="997">
        <v>0</v>
      </c>
      <c r="K41" s="998">
        <v>0</v>
      </c>
      <c r="L41" s="998"/>
      <c r="M41" s="998"/>
      <c r="N41" s="998"/>
      <c r="O41" s="998"/>
      <c r="P41" s="998"/>
      <c r="Q41" s="998"/>
      <c r="R41" s="998"/>
      <c r="S41" s="998"/>
      <c r="T41" s="998"/>
      <c r="U41" s="998"/>
      <c r="V41" s="997">
        <v>0</v>
      </c>
      <c r="W41" s="998">
        <v>0</v>
      </c>
      <c r="X41" s="914"/>
      <c r="Y41" s="927"/>
      <c r="Z41" s="928">
        <v>4681</v>
      </c>
      <c r="AA41" s="923"/>
      <c r="AB41" s="923"/>
    </row>
    <row r="42" spans="1:28" x14ac:dyDescent="0.2">
      <c r="A42" s="535">
        <v>1</v>
      </c>
      <c r="B42" s="374" t="s">
        <v>1474</v>
      </c>
      <c r="C42" s="374" t="s">
        <v>1475</v>
      </c>
      <c r="D42" s="435">
        <v>3360162</v>
      </c>
      <c r="E42" s="435">
        <v>812201</v>
      </c>
      <c r="F42" s="374" t="s">
        <v>1471</v>
      </c>
      <c r="G42" s="374" t="s">
        <v>1422</v>
      </c>
      <c r="H42" s="997">
        <f>18/42.5</f>
        <v>0.42352941176470588</v>
      </c>
      <c r="I42" s="998">
        <v>30874</v>
      </c>
      <c r="J42" s="997">
        <f>18/42.5</f>
        <v>0.42352941176470588</v>
      </c>
      <c r="K42" s="998">
        <v>40000</v>
      </c>
      <c r="L42" s="998"/>
      <c r="M42" s="998"/>
      <c r="N42" s="998"/>
      <c r="O42" s="998"/>
      <c r="P42" s="998"/>
      <c r="Q42" s="998"/>
      <c r="R42" s="998"/>
      <c r="S42" s="998"/>
      <c r="T42" s="998"/>
      <c r="U42" s="998"/>
      <c r="V42" s="997">
        <f>18/42.5</f>
        <v>0.42352941176470588</v>
      </c>
      <c r="W42" s="998">
        <v>40000</v>
      </c>
      <c r="X42" s="12"/>
      <c r="Y42" s="913"/>
      <c r="Z42" s="208">
        <v>27894</v>
      </c>
      <c r="AA42" s="897"/>
      <c r="AB42" s="897"/>
    </row>
    <row r="43" spans="1:28" x14ac:dyDescent="0.2">
      <c r="A43" s="535">
        <v>1</v>
      </c>
      <c r="B43" s="374" t="s">
        <v>1450</v>
      </c>
      <c r="C43" s="374" t="s">
        <v>1435</v>
      </c>
      <c r="D43" s="435">
        <v>3472828</v>
      </c>
      <c r="E43" s="435">
        <v>812201</v>
      </c>
      <c r="F43" s="374" t="s">
        <v>1473</v>
      </c>
      <c r="G43" s="374" t="s">
        <v>1422</v>
      </c>
      <c r="H43" s="997">
        <f>20/42.5</f>
        <v>0.47058823529411764</v>
      </c>
      <c r="I43" s="998">
        <v>23585</v>
      </c>
      <c r="J43" s="997">
        <f>20/42.5</f>
        <v>0.47058823529411764</v>
      </c>
      <c r="K43" s="998">
        <v>40000</v>
      </c>
      <c r="L43" s="998"/>
      <c r="M43" s="998"/>
      <c r="N43" s="998"/>
      <c r="O43" s="998"/>
      <c r="P43" s="998"/>
      <c r="Q43" s="998"/>
      <c r="R43" s="998"/>
      <c r="S43" s="998"/>
      <c r="T43" s="998"/>
      <c r="U43" s="998"/>
      <c r="V43" s="997">
        <f>20/42.5</f>
        <v>0.47058823529411764</v>
      </c>
      <c r="W43" s="998">
        <v>40000</v>
      </c>
      <c r="X43" s="12"/>
      <c r="Y43" s="913"/>
      <c r="Z43" s="208">
        <v>23814</v>
      </c>
      <c r="AA43" s="897"/>
      <c r="AB43" s="897"/>
    </row>
    <row r="44" spans="1:28" x14ac:dyDescent="0.2">
      <c r="A44" s="535">
        <v>1</v>
      </c>
      <c r="B44" s="374" t="s">
        <v>1459</v>
      </c>
      <c r="C44" s="374" t="s">
        <v>1460</v>
      </c>
      <c r="D44" s="435">
        <v>5703154</v>
      </c>
      <c r="E44" s="435">
        <v>812201</v>
      </c>
      <c r="F44" s="374" t="s">
        <v>1457</v>
      </c>
      <c r="G44" s="374" t="s">
        <v>1422</v>
      </c>
      <c r="H44" s="997">
        <f>25/42.5</f>
        <v>0.58823529411764708</v>
      </c>
      <c r="I44" s="998">
        <v>32478</v>
      </c>
      <c r="J44" s="997">
        <v>0</v>
      </c>
      <c r="K44" s="998">
        <v>0</v>
      </c>
      <c r="L44" s="998"/>
      <c r="M44" s="998"/>
      <c r="N44" s="998"/>
      <c r="O44" s="998"/>
      <c r="P44" s="998"/>
      <c r="Q44" s="998"/>
      <c r="R44" s="998"/>
      <c r="S44" s="998"/>
      <c r="T44" s="998"/>
      <c r="U44" s="998"/>
      <c r="V44" s="997">
        <v>0</v>
      </c>
      <c r="W44" s="998">
        <v>0</v>
      </c>
      <c r="X44" s="12"/>
      <c r="Y44" s="913"/>
      <c r="Z44" s="208">
        <v>35409</v>
      </c>
      <c r="AA44" s="897"/>
      <c r="AB44" s="897"/>
    </row>
    <row r="45" spans="1:28" x14ac:dyDescent="0.2">
      <c r="A45" s="535">
        <v>1</v>
      </c>
      <c r="B45" s="374" t="s">
        <v>1430</v>
      </c>
      <c r="C45" s="374" t="s">
        <v>1431</v>
      </c>
      <c r="D45" s="435">
        <v>20440824</v>
      </c>
      <c r="E45" s="435">
        <v>812201</v>
      </c>
      <c r="F45" s="374" t="s">
        <v>1471</v>
      </c>
      <c r="G45" s="374" t="s">
        <v>1422</v>
      </c>
      <c r="H45" s="997">
        <f>18/42.5</f>
        <v>0.42352941176470588</v>
      </c>
      <c r="I45" s="998">
        <v>29225</v>
      </c>
      <c r="J45" s="997">
        <v>0</v>
      </c>
      <c r="K45" s="998">
        <v>0</v>
      </c>
      <c r="L45" s="998"/>
      <c r="M45" s="998"/>
      <c r="N45" s="998"/>
      <c r="O45" s="998"/>
      <c r="P45" s="998"/>
      <c r="Q45" s="998"/>
      <c r="R45" s="998"/>
      <c r="S45" s="998"/>
      <c r="T45" s="998"/>
      <c r="U45" s="998"/>
      <c r="V45" s="997">
        <v>0</v>
      </c>
      <c r="W45" s="998">
        <v>0</v>
      </c>
      <c r="X45" s="12"/>
      <c r="Y45" s="913"/>
      <c r="Z45" s="208">
        <v>22797</v>
      </c>
      <c r="AA45" s="897"/>
      <c r="AB45" s="897"/>
    </row>
    <row r="46" spans="1:28" x14ac:dyDescent="0.2">
      <c r="A46" s="535">
        <v>1</v>
      </c>
      <c r="B46" s="374" t="s">
        <v>1469</v>
      </c>
      <c r="C46" s="374" t="s">
        <v>1470</v>
      </c>
      <c r="D46" s="435">
        <v>20581909</v>
      </c>
      <c r="E46" s="435">
        <v>812201</v>
      </c>
      <c r="F46" s="374" t="s">
        <v>1471</v>
      </c>
      <c r="G46" s="374" t="s">
        <v>1422</v>
      </c>
      <c r="H46" s="997">
        <f>15/42.5</f>
        <v>0.35294117647058826</v>
      </c>
      <c r="I46" s="998">
        <v>40745</v>
      </c>
      <c r="J46" s="997">
        <f>15/42.5</f>
        <v>0.35294117647058826</v>
      </c>
      <c r="K46" s="998">
        <v>56000</v>
      </c>
      <c r="L46" s="998"/>
      <c r="M46" s="998"/>
      <c r="N46" s="998"/>
      <c r="O46" s="998"/>
      <c r="P46" s="998"/>
      <c r="Q46" s="998"/>
      <c r="R46" s="998"/>
      <c r="S46" s="998"/>
      <c r="T46" s="998"/>
      <c r="U46" s="998"/>
      <c r="V46" s="997">
        <f>15/42.5</f>
        <v>0.35294117647058826</v>
      </c>
      <c r="W46" s="998">
        <v>56000</v>
      </c>
      <c r="X46" s="12"/>
      <c r="Y46" s="913"/>
      <c r="Z46" s="208">
        <f>29225+12180</f>
        <v>41405</v>
      </c>
      <c r="AA46" s="897"/>
      <c r="AB46" s="897"/>
    </row>
    <row r="47" spans="1:28" x14ac:dyDescent="0.2">
      <c r="A47" s="535">
        <v>1</v>
      </c>
      <c r="B47" s="374" t="s">
        <v>1479</v>
      </c>
      <c r="C47" s="374" t="s">
        <v>1480</v>
      </c>
      <c r="D47" s="435">
        <v>25976358</v>
      </c>
      <c r="E47" s="435">
        <v>812201</v>
      </c>
      <c r="F47" s="374" t="s">
        <v>1478</v>
      </c>
      <c r="G47" s="374" t="s">
        <v>1422</v>
      </c>
      <c r="H47" s="997">
        <f>15/42.5</f>
        <v>0.35294117647058826</v>
      </c>
      <c r="I47" s="998">
        <v>44050</v>
      </c>
      <c r="J47" s="997">
        <f>15/42.5</f>
        <v>0.35294117647058826</v>
      </c>
      <c r="K47" s="998">
        <v>44050</v>
      </c>
      <c r="L47" s="998"/>
      <c r="M47" s="998"/>
      <c r="N47" s="998"/>
      <c r="O47" s="998"/>
      <c r="P47" s="998"/>
      <c r="Q47" s="998"/>
      <c r="R47" s="998"/>
      <c r="S47" s="998"/>
      <c r="T47" s="998"/>
      <c r="U47" s="998"/>
      <c r="V47" s="997">
        <f>15/42.5</f>
        <v>0.35294117647058826</v>
      </c>
      <c r="W47" s="998">
        <v>44050</v>
      </c>
      <c r="X47" s="12"/>
      <c r="Y47" s="913"/>
      <c r="Z47" s="208">
        <v>25611</v>
      </c>
      <c r="AA47" s="897"/>
      <c r="AB47" s="897"/>
    </row>
    <row r="48" spans="1:28" x14ac:dyDescent="0.2">
      <c r="A48" s="535">
        <v>1</v>
      </c>
      <c r="B48" s="374" t="s">
        <v>1476</v>
      </c>
      <c r="C48" s="374" t="s">
        <v>1477</v>
      </c>
      <c r="D48" s="435">
        <v>30017481</v>
      </c>
      <c r="E48" s="435">
        <v>812201</v>
      </c>
      <c r="F48" s="374" t="s">
        <v>1471</v>
      </c>
      <c r="G48" s="374" t="s">
        <v>1422</v>
      </c>
      <c r="H48" s="997">
        <f>20/42.5</f>
        <v>0.47058823529411764</v>
      </c>
      <c r="I48" s="998">
        <v>26988</v>
      </c>
      <c r="J48" s="997">
        <f>20/42.5</f>
        <v>0.47058823529411764</v>
      </c>
      <c r="K48" s="998">
        <v>35000</v>
      </c>
      <c r="L48" s="998"/>
      <c r="M48" s="998"/>
      <c r="N48" s="998"/>
      <c r="O48" s="998"/>
      <c r="P48" s="998"/>
      <c r="Q48" s="998"/>
      <c r="R48" s="998"/>
      <c r="S48" s="998"/>
      <c r="T48" s="998"/>
      <c r="U48" s="998"/>
      <c r="V48" s="997">
        <f>20/42.5</f>
        <v>0.47058823529411764</v>
      </c>
      <c r="W48" s="998">
        <v>35000</v>
      </c>
      <c r="X48" s="12"/>
      <c r="Y48" s="913"/>
      <c r="Z48" s="208">
        <v>27803</v>
      </c>
      <c r="AA48" s="897"/>
      <c r="AB48" s="897"/>
    </row>
    <row r="49" spans="1:28" x14ac:dyDescent="0.2">
      <c r="A49" s="535">
        <v>1</v>
      </c>
      <c r="B49" s="374" t="s">
        <v>1050</v>
      </c>
      <c r="C49" s="374" t="s">
        <v>1796</v>
      </c>
      <c r="D49" s="435">
        <v>30092629</v>
      </c>
      <c r="E49" s="435">
        <v>812201</v>
      </c>
      <c r="F49" s="374" t="s">
        <v>1473</v>
      </c>
      <c r="G49" s="374" t="s">
        <v>1422</v>
      </c>
      <c r="H49" s="997">
        <v>0.22</v>
      </c>
      <c r="I49" s="998">
        <v>0</v>
      </c>
      <c r="J49" s="997">
        <v>0.22</v>
      </c>
      <c r="K49" s="998">
        <v>2004</v>
      </c>
      <c r="L49" s="998"/>
      <c r="M49" s="998"/>
      <c r="N49" s="998"/>
      <c r="O49" s="998"/>
      <c r="P49" s="998"/>
      <c r="Q49" s="998"/>
      <c r="R49" s="998"/>
      <c r="S49" s="998"/>
      <c r="T49" s="998"/>
      <c r="U49" s="998"/>
      <c r="V49" s="997">
        <v>0.22</v>
      </c>
      <c r="W49" s="998">
        <v>0</v>
      </c>
      <c r="X49" s="12"/>
      <c r="Y49" s="913"/>
      <c r="Z49" s="208">
        <v>23423</v>
      </c>
      <c r="AA49" s="897"/>
      <c r="AB49" s="897"/>
    </row>
    <row r="50" spans="1:28" x14ac:dyDescent="0.2">
      <c r="A50" s="535">
        <v>1</v>
      </c>
      <c r="B50" s="374" t="s">
        <v>1135</v>
      </c>
      <c r="C50" s="374" t="s">
        <v>1463</v>
      </c>
      <c r="D50" s="435">
        <v>30172477</v>
      </c>
      <c r="E50" s="435">
        <v>812201</v>
      </c>
      <c r="F50" s="374" t="s">
        <v>1464</v>
      </c>
      <c r="G50" s="374" t="s">
        <v>1422</v>
      </c>
      <c r="H50" s="997">
        <f>16/42.5</f>
        <v>0.37647058823529411</v>
      </c>
      <c r="I50" s="998">
        <v>27646</v>
      </c>
      <c r="J50" s="997">
        <f>16/42.5</f>
        <v>0.37647058823529411</v>
      </c>
      <c r="K50" s="998">
        <v>30000</v>
      </c>
      <c r="L50" s="998"/>
      <c r="M50" s="998"/>
      <c r="N50" s="998"/>
      <c r="O50" s="998"/>
      <c r="P50" s="998"/>
      <c r="Q50" s="998"/>
      <c r="R50" s="998"/>
      <c r="S50" s="998"/>
      <c r="T50" s="998"/>
      <c r="U50" s="998"/>
      <c r="V50" s="997">
        <f>16/42.5</f>
        <v>0.37647058823529411</v>
      </c>
      <c r="W50" s="998">
        <v>30000</v>
      </c>
      <c r="X50" s="12"/>
      <c r="Y50" s="913"/>
      <c r="Z50" s="208"/>
      <c r="AA50" s="897"/>
      <c r="AB50" s="897"/>
    </row>
    <row r="51" spans="1:28" x14ac:dyDescent="0.2">
      <c r="A51" s="535">
        <v>1</v>
      </c>
      <c r="B51" s="374" t="s">
        <v>1430</v>
      </c>
      <c r="C51" s="374" t="s">
        <v>1472</v>
      </c>
      <c r="D51" s="435">
        <v>30265944</v>
      </c>
      <c r="E51" s="435">
        <v>812201</v>
      </c>
      <c r="F51" s="374" t="s">
        <v>1471</v>
      </c>
      <c r="G51" s="374" t="s">
        <v>1422</v>
      </c>
      <c r="H51" s="997">
        <f>20/42.5</f>
        <v>0.47058823529411764</v>
      </c>
      <c r="I51" s="998">
        <v>22796</v>
      </c>
      <c r="J51" s="997">
        <v>0</v>
      </c>
      <c r="K51" s="998">
        <v>0</v>
      </c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7">
        <v>0</v>
      </c>
      <c r="W51" s="998">
        <v>0</v>
      </c>
      <c r="X51" s="12"/>
      <c r="Y51" s="913"/>
      <c r="Z51" s="208">
        <v>18436</v>
      </c>
      <c r="AA51" s="897"/>
      <c r="AB51" s="897"/>
    </row>
    <row r="52" spans="1:28" x14ac:dyDescent="0.2">
      <c r="A52" s="535">
        <v>1</v>
      </c>
      <c r="B52" s="374" t="s">
        <v>1399</v>
      </c>
      <c r="C52" s="374" t="s">
        <v>1465</v>
      </c>
      <c r="D52" s="435">
        <v>30305092</v>
      </c>
      <c r="E52" s="435">
        <v>812201</v>
      </c>
      <c r="F52" s="374" t="s">
        <v>1466</v>
      </c>
      <c r="G52" s="374" t="s">
        <v>1422</v>
      </c>
      <c r="H52" s="997">
        <f>22/42.5</f>
        <v>0.51764705882352946</v>
      </c>
      <c r="I52" s="998">
        <v>27803</v>
      </c>
      <c r="J52" s="997">
        <v>0</v>
      </c>
      <c r="K52" s="998">
        <v>0</v>
      </c>
      <c r="L52" s="998"/>
      <c r="M52" s="998"/>
      <c r="N52" s="998"/>
      <c r="O52" s="998"/>
      <c r="P52" s="998"/>
      <c r="Q52" s="998"/>
      <c r="R52" s="998"/>
      <c r="S52" s="998"/>
      <c r="T52" s="998"/>
      <c r="U52" s="998"/>
      <c r="V52" s="997">
        <v>0</v>
      </c>
      <c r="W52" s="998">
        <v>0</v>
      </c>
      <c r="X52" s="12"/>
      <c r="Y52" s="913"/>
      <c r="Z52" s="208">
        <v>25785</v>
      </c>
      <c r="AA52" s="897"/>
      <c r="AB52" s="897"/>
    </row>
    <row r="53" spans="1:28" x14ac:dyDescent="0.2">
      <c r="A53" s="535">
        <v>1</v>
      </c>
      <c r="B53" s="374" t="s">
        <v>990</v>
      </c>
      <c r="C53" s="374" t="s">
        <v>1467</v>
      </c>
      <c r="D53" s="435">
        <v>40084436</v>
      </c>
      <c r="E53" s="435">
        <v>812201</v>
      </c>
      <c r="F53" s="374" t="s">
        <v>1466</v>
      </c>
      <c r="G53" s="374" t="s">
        <v>1468</v>
      </c>
      <c r="H53" s="997">
        <f>37/42.5</f>
        <v>0.87058823529411766</v>
      </c>
      <c r="I53" s="998">
        <v>23423</v>
      </c>
      <c r="J53" s="997">
        <v>0</v>
      </c>
      <c r="K53" s="998">
        <v>0</v>
      </c>
      <c r="L53" s="998"/>
      <c r="M53" s="998"/>
      <c r="N53" s="998"/>
      <c r="O53" s="998"/>
      <c r="P53" s="998"/>
      <c r="Q53" s="998"/>
      <c r="R53" s="998"/>
      <c r="S53" s="998"/>
      <c r="T53" s="998"/>
      <c r="U53" s="998"/>
      <c r="V53" s="997">
        <v>0</v>
      </c>
      <c r="W53" s="998">
        <v>0</v>
      </c>
      <c r="X53" s="914"/>
      <c r="Y53" s="913"/>
      <c r="Z53" s="208">
        <v>39431</v>
      </c>
      <c r="AA53" s="897"/>
      <c r="AB53" s="897"/>
    </row>
    <row r="54" spans="1:28" x14ac:dyDescent="0.2">
      <c r="A54" s="535">
        <v>1</v>
      </c>
      <c r="B54" s="374" t="s">
        <v>1087</v>
      </c>
      <c r="C54" s="374" t="s">
        <v>1793</v>
      </c>
      <c r="D54" s="435">
        <v>303055354</v>
      </c>
      <c r="E54" s="435">
        <v>812201</v>
      </c>
      <c r="F54" s="374" t="s">
        <v>1457</v>
      </c>
      <c r="G54" s="374" t="s">
        <v>1422</v>
      </c>
      <c r="H54" s="997">
        <v>0.2</v>
      </c>
      <c r="I54" s="998">
        <v>3435</v>
      </c>
      <c r="J54" s="997">
        <v>0.2</v>
      </c>
      <c r="K54" s="998">
        <v>35000</v>
      </c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7">
        <v>0.2</v>
      </c>
      <c r="W54" s="998">
        <v>35000</v>
      </c>
      <c r="X54" s="914"/>
      <c r="Y54" s="913"/>
      <c r="Z54" s="208"/>
      <c r="AA54" s="897"/>
      <c r="AB54" s="897"/>
    </row>
    <row r="55" spans="1:28" x14ac:dyDescent="0.2">
      <c r="A55" s="535">
        <v>1</v>
      </c>
      <c r="B55" s="374" t="s">
        <v>1829</v>
      </c>
      <c r="C55" s="374" t="s">
        <v>1624</v>
      </c>
      <c r="D55" s="435">
        <v>3570237</v>
      </c>
      <c r="E55" s="435">
        <v>812201</v>
      </c>
      <c r="F55" s="374" t="s">
        <v>1457</v>
      </c>
      <c r="G55" s="374" t="s">
        <v>1422</v>
      </c>
      <c r="H55" s="997">
        <v>0.2</v>
      </c>
      <c r="I55" s="998">
        <v>1697</v>
      </c>
      <c r="J55" s="997">
        <v>0.2</v>
      </c>
      <c r="K55" s="998">
        <v>18000</v>
      </c>
      <c r="L55" s="998"/>
      <c r="M55" s="998"/>
      <c r="N55" s="998"/>
      <c r="O55" s="998"/>
      <c r="P55" s="998"/>
      <c r="Q55" s="998"/>
      <c r="R55" s="998"/>
      <c r="S55" s="998"/>
      <c r="T55" s="998"/>
      <c r="U55" s="998"/>
      <c r="V55" s="997">
        <v>0.2</v>
      </c>
      <c r="W55" s="998">
        <v>18000</v>
      </c>
      <c r="X55" s="914"/>
      <c r="Y55" s="913"/>
      <c r="Z55" s="208"/>
      <c r="AA55" s="897"/>
      <c r="AB55" s="897"/>
    </row>
    <row r="56" spans="1:28" x14ac:dyDescent="0.2">
      <c r="A56" s="535">
        <v>1</v>
      </c>
      <c r="B56" s="374" t="s">
        <v>1438</v>
      </c>
      <c r="C56" s="374" t="s">
        <v>1453</v>
      </c>
      <c r="D56" s="435">
        <v>30802134</v>
      </c>
      <c r="E56" s="435">
        <v>812201</v>
      </c>
      <c r="F56" s="374" t="s">
        <v>1473</v>
      </c>
      <c r="G56" s="374" t="s">
        <v>1422</v>
      </c>
      <c r="H56" s="997">
        <v>0.22</v>
      </c>
      <c r="I56" s="998">
        <v>0</v>
      </c>
      <c r="J56" s="997">
        <v>0.22</v>
      </c>
      <c r="K56" s="998">
        <v>18000</v>
      </c>
      <c r="L56" s="998"/>
      <c r="M56" s="998"/>
      <c r="N56" s="998"/>
      <c r="O56" s="998"/>
      <c r="P56" s="998"/>
      <c r="Q56" s="998"/>
      <c r="R56" s="998"/>
      <c r="S56" s="998"/>
      <c r="T56" s="998"/>
      <c r="U56" s="998"/>
      <c r="V56" s="997">
        <v>0.22</v>
      </c>
      <c r="W56" s="998">
        <v>18000</v>
      </c>
      <c r="X56" s="914"/>
      <c r="Y56" s="913"/>
      <c r="Z56" s="208"/>
      <c r="AA56" s="897"/>
      <c r="AB56" s="897"/>
    </row>
    <row r="57" spans="1:28" x14ac:dyDescent="0.2">
      <c r="A57" s="535"/>
      <c r="B57" s="374" t="s">
        <v>1832</v>
      </c>
      <c r="C57" s="374" t="s">
        <v>1833</v>
      </c>
      <c r="D57" s="435">
        <v>9999999</v>
      </c>
      <c r="E57" s="435">
        <v>812201</v>
      </c>
      <c r="F57" s="374" t="s">
        <v>1473</v>
      </c>
      <c r="G57" s="374" t="s">
        <v>1422</v>
      </c>
      <c r="H57" s="997">
        <v>1.22</v>
      </c>
      <c r="I57" s="998">
        <f>2697+6097+5098+8153+2676</f>
        <v>24721</v>
      </c>
      <c r="J57" s="997">
        <v>1.22</v>
      </c>
      <c r="K57" s="998">
        <v>36000</v>
      </c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7">
        <v>1.22</v>
      </c>
      <c r="W57" s="998">
        <v>36000</v>
      </c>
      <c r="X57" s="914"/>
      <c r="Y57" s="913"/>
      <c r="Z57" s="208"/>
      <c r="AA57" s="897"/>
      <c r="AB57" s="897"/>
    </row>
    <row r="58" spans="1:28" x14ac:dyDescent="0.2">
      <c r="A58" s="540" t="s">
        <v>1481</v>
      </c>
      <c r="B58" s="484"/>
      <c r="C58" s="484"/>
      <c r="D58" s="485"/>
      <c r="E58" s="485"/>
      <c r="F58" s="484"/>
      <c r="G58" s="484"/>
      <c r="H58" s="789">
        <f>SUM(H39:H56)</f>
        <v>7.5070588235294116</v>
      </c>
      <c r="I58" s="487">
        <f>SUM(I38:I57)</f>
        <v>464927</v>
      </c>
      <c r="J58" s="932">
        <f>SUM(J38:J57)</f>
        <v>5.3705882352941181</v>
      </c>
      <c r="K58" s="487">
        <f>SUM(K38:K57)</f>
        <v>464054</v>
      </c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932">
        <f>SUM(V38:V57)</f>
        <v>5.3705882352941181</v>
      </c>
      <c r="W58" s="487">
        <f>SUM(W38:W57)</f>
        <v>462050</v>
      </c>
      <c r="X58" s="12"/>
      <c r="Y58" s="913"/>
      <c r="Z58" s="208"/>
      <c r="AA58" s="897"/>
      <c r="AB58" s="897"/>
    </row>
    <row r="59" spans="1:28" s="912" customFormat="1" x14ac:dyDescent="0.2">
      <c r="A59" s="535">
        <v>1</v>
      </c>
      <c r="B59" s="374" t="s">
        <v>1482</v>
      </c>
      <c r="C59" s="374" t="s">
        <v>758</v>
      </c>
      <c r="D59" s="435">
        <v>1789630</v>
      </c>
      <c r="E59" s="435">
        <v>812202</v>
      </c>
      <c r="F59" s="374" t="s">
        <v>1483</v>
      </c>
      <c r="G59" s="374" t="s">
        <v>1484</v>
      </c>
      <c r="H59" s="466" t="s">
        <v>942</v>
      </c>
      <c r="I59" s="439">
        <f>136100-I60-I61</f>
        <v>101364</v>
      </c>
      <c r="J59" s="466" t="s">
        <v>942</v>
      </c>
      <c r="K59" s="439">
        <v>40000</v>
      </c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66" t="s">
        <v>942</v>
      </c>
      <c r="W59" s="439">
        <v>40000</v>
      </c>
      <c r="X59" s="915"/>
      <c r="Z59" s="208"/>
      <c r="AA59" s="897"/>
      <c r="AB59" s="897"/>
    </row>
    <row r="60" spans="1:28" x14ac:dyDescent="0.2">
      <c r="A60" s="535">
        <v>1</v>
      </c>
      <c r="B60" s="374" t="s">
        <v>1045</v>
      </c>
      <c r="C60" s="374" t="s">
        <v>1830</v>
      </c>
      <c r="D60" s="435">
        <v>30292548</v>
      </c>
      <c r="E60" s="435">
        <v>812202</v>
      </c>
      <c r="F60" s="374" t="s">
        <v>1483</v>
      </c>
      <c r="G60" s="374" t="s">
        <v>1484</v>
      </c>
      <c r="H60" s="466" t="s">
        <v>942</v>
      </c>
      <c r="I60" s="439">
        <v>5369</v>
      </c>
      <c r="J60" s="466" t="s">
        <v>942</v>
      </c>
      <c r="K60" s="439">
        <v>62100</v>
      </c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66" t="s">
        <v>942</v>
      </c>
      <c r="W60" s="439">
        <v>62100</v>
      </c>
      <c r="X60" s="916"/>
      <c r="Z60" s="208"/>
      <c r="AA60" s="897"/>
      <c r="AB60" s="897"/>
    </row>
    <row r="61" spans="1:28" x14ac:dyDescent="0.2">
      <c r="A61" s="535">
        <v>1</v>
      </c>
      <c r="B61" s="374" t="s">
        <v>1052</v>
      </c>
      <c r="C61" s="374" t="s">
        <v>1485</v>
      </c>
      <c r="D61" s="435">
        <v>30169548</v>
      </c>
      <c r="E61" s="435">
        <v>812202</v>
      </c>
      <c r="F61" s="374" t="s">
        <v>1483</v>
      </c>
      <c r="G61" s="374" t="s">
        <v>1484</v>
      </c>
      <c r="H61" s="466" t="s">
        <v>942</v>
      </c>
      <c r="I61" s="439">
        <v>29367</v>
      </c>
      <c r="J61" s="466" t="s">
        <v>942</v>
      </c>
      <c r="K61" s="439">
        <v>34000</v>
      </c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66" t="s">
        <v>942</v>
      </c>
      <c r="W61" s="439">
        <v>34000</v>
      </c>
      <c r="Z61" s="897">
        <v>26657</v>
      </c>
      <c r="AA61" s="897"/>
      <c r="AB61" s="897"/>
    </row>
    <row r="62" spans="1:28" x14ac:dyDescent="0.2">
      <c r="A62" s="540" t="s">
        <v>1486</v>
      </c>
      <c r="B62" s="484"/>
      <c r="C62" s="484"/>
      <c r="D62" s="485"/>
      <c r="E62" s="485"/>
      <c r="F62" s="484"/>
      <c r="G62" s="484"/>
      <c r="H62" s="486"/>
      <c r="I62" s="487">
        <f>SUM(I59:I61)</f>
        <v>136100</v>
      </c>
      <c r="J62" s="487"/>
      <c r="K62" s="487">
        <f t="shared" ref="K62:W62" si="2">SUM(K59:K61)</f>
        <v>136100</v>
      </c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>
        <f t="shared" si="2"/>
        <v>136100</v>
      </c>
      <c r="Z62" s="897"/>
      <c r="AA62" s="897"/>
      <c r="AB62" s="897"/>
    </row>
    <row r="63" spans="1:28" x14ac:dyDescent="0.2">
      <c r="A63" s="535">
        <v>1</v>
      </c>
      <c r="B63" s="374" t="s">
        <v>1487</v>
      </c>
      <c r="C63" s="374" t="s">
        <v>1458</v>
      </c>
      <c r="D63" s="435">
        <v>2310370</v>
      </c>
      <c r="E63" s="435">
        <v>812203</v>
      </c>
      <c r="F63" s="374" t="s">
        <v>1488</v>
      </c>
      <c r="G63" s="374" t="s">
        <v>1489</v>
      </c>
      <c r="H63" s="466">
        <v>0.83</v>
      </c>
      <c r="I63" s="439">
        <v>86094</v>
      </c>
      <c r="J63" s="466">
        <v>0.83</v>
      </c>
      <c r="K63" s="439">
        <v>82000</v>
      </c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66">
        <v>0.83</v>
      </c>
      <c r="W63" s="439">
        <v>82000</v>
      </c>
      <c r="Z63" s="897">
        <v>79356</v>
      </c>
      <c r="AA63" s="897"/>
      <c r="AB63" s="897"/>
    </row>
    <row r="64" spans="1:28" x14ac:dyDescent="0.2">
      <c r="A64" s="535">
        <v>1</v>
      </c>
      <c r="B64" s="374" t="s">
        <v>924</v>
      </c>
      <c r="C64" s="374" t="s">
        <v>1490</v>
      </c>
      <c r="D64" s="435">
        <v>3599882</v>
      </c>
      <c r="E64" s="435">
        <v>812203</v>
      </c>
      <c r="F64" s="374" t="s">
        <v>1488</v>
      </c>
      <c r="G64" s="374" t="s">
        <v>1489</v>
      </c>
      <c r="H64" s="466">
        <v>0.85</v>
      </c>
      <c r="I64" s="439">
        <v>86590</v>
      </c>
      <c r="J64" s="466">
        <v>0.85</v>
      </c>
      <c r="K64" s="439">
        <v>90000</v>
      </c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66">
        <v>0.85</v>
      </c>
      <c r="W64" s="439">
        <v>90000</v>
      </c>
      <c r="Z64" s="897">
        <v>79647</v>
      </c>
      <c r="AA64" s="897"/>
      <c r="AB64" s="897"/>
    </row>
    <row r="65" spans="1:28" ht="12" customHeight="1" x14ac:dyDescent="0.2">
      <c r="A65" s="535"/>
      <c r="B65" s="374" t="s">
        <v>1564</v>
      </c>
      <c r="C65" s="374" t="s">
        <v>1565</v>
      </c>
      <c r="D65" s="440">
        <v>5944677</v>
      </c>
      <c r="E65" s="435">
        <v>813300</v>
      </c>
      <c r="F65" s="374" t="s">
        <v>1488</v>
      </c>
      <c r="G65" s="374" t="s">
        <v>1489</v>
      </c>
      <c r="H65" s="466">
        <f>35/42.5</f>
        <v>0.82352941176470584</v>
      </c>
      <c r="I65" s="439">
        <v>9598</v>
      </c>
      <c r="J65" s="466">
        <v>0.82</v>
      </c>
      <c r="K65" s="439">
        <v>60000</v>
      </c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66">
        <v>0.82</v>
      </c>
      <c r="W65" s="439">
        <v>60000</v>
      </c>
      <c r="Z65" s="897">
        <f>4863+14403</f>
        <v>19266</v>
      </c>
      <c r="AA65" s="897"/>
      <c r="AB65" s="897"/>
    </row>
    <row r="66" spans="1:28" x14ac:dyDescent="0.2">
      <c r="A66" s="535">
        <v>1</v>
      </c>
      <c r="B66" s="995" t="s">
        <v>1479</v>
      </c>
      <c r="C66" s="995" t="s">
        <v>1574</v>
      </c>
      <c r="D66" s="996">
        <v>30993795</v>
      </c>
      <c r="E66" s="996">
        <v>812203</v>
      </c>
      <c r="F66" s="995" t="s">
        <v>1488</v>
      </c>
      <c r="G66" s="995" t="s">
        <v>1708</v>
      </c>
      <c r="H66" s="997">
        <f>30/42.5</f>
        <v>0.70588235294117652</v>
      </c>
      <c r="I66" s="998">
        <v>0</v>
      </c>
      <c r="J66" s="997">
        <f>30/42.5</f>
        <v>0.70588235294117652</v>
      </c>
      <c r="K66" s="998">
        <v>40000</v>
      </c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7">
        <f>30/42.5</f>
        <v>0.70588235294117652</v>
      </c>
      <c r="W66" s="998">
        <v>40000</v>
      </c>
      <c r="Z66" s="897">
        <v>23994</v>
      </c>
      <c r="AA66" s="897"/>
      <c r="AB66" s="897"/>
    </row>
    <row r="67" spans="1:28" x14ac:dyDescent="0.2">
      <c r="A67" s="535">
        <v>1</v>
      </c>
      <c r="B67" s="995" t="s">
        <v>948</v>
      </c>
      <c r="C67" s="995" t="s">
        <v>1491</v>
      </c>
      <c r="D67" s="996">
        <v>1153750</v>
      </c>
      <c r="E67" s="996">
        <v>812203</v>
      </c>
      <c r="F67" s="995" t="s">
        <v>1488</v>
      </c>
      <c r="G67" s="995" t="s">
        <v>1708</v>
      </c>
      <c r="H67" s="997">
        <f>30/42.5</f>
        <v>0.70588235294117652</v>
      </c>
      <c r="I67" s="998">
        <v>39536</v>
      </c>
      <c r="J67" s="997">
        <f>30/42.5</f>
        <v>0.70588235294117652</v>
      </c>
      <c r="K67" s="998">
        <v>40000</v>
      </c>
      <c r="L67" s="998"/>
      <c r="M67" s="998"/>
      <c r="N67" s="998"/>
      <c r="O67" s="998"/>
      <c r="P67" s="998"/>
      <c r="Q67" s="998"/>
      <c r="R67" s="998"/>
      <c r="S67" s="998"/>
      <c r="T67" s="998"/>
      <c r="U67" s="998"/>
      <c r="V67" s="997">
        <f>30/42.5</f>
        <v>0.70588235294117652</v>
      </c>
      <c r="W67" s="998">
        <v>40000</v>
      </c>
      <c r="Z67" s="897">
        <f>35655+2446</f>
        <v>38101</v>
      </c>
      <c r="AA67" s="897"/>
      <c r="AB67" s="897"/>
    </row>
    <row r="68" spans="1:28" x14ac:dyDescent="0.2">
      <c r="A68" s="535"/>
      <c r="B68" s="995" t="s">
        <v>924</v>
      </c>
      <c r="C68" s="995" t="s">
        <v>1834</v>
      </c>
      <c r="D68" s="996">
        <v>30993795</v>
      </c>
      <c r="E68" s="996">
        <v>812204</v>
      </c>
      <c r="F68" s="995" t="s">
        <v>1488</v>
      </c>
      <c r="G68" s="995"/>
      <c r="H68" s="997"/>
      <c r="I68" s="998">
        <v>23994</v>
      </c>
      <c r="J68" s="997">
        <v>0</v>
      </c>
      <c r="K68" s="998">
        <v>0</v>
      </c>
      <c r="L68" s="998"/>
      <c r="M68" s="998"/>
      <c r="N68" s="998"/>
      <c r="O68" s="998"/>
      <c r="P68" s="998"/>
      <c r="Q68" s="998"/>
      <c r="R68" s="998"/>
      <c r="S68" s="998"/>
      <c r="T68" s="998"/>
      <c r="U68" s="998"/>
      <c r="V68" s="997">
        <v>0</v>
      </c>
      <c r="W68" s="998">
        <v>0</v>
      </c>
      <c r="Z68" s="897"/>
      <c r="AA68" s="897"/>
      <c r="AB68" s="897"/>
    </row>
    <row r="69" spans="1:28" x14ac:dyDescent="0.2">
      <c r="A69" s="535"/>
      <c r="B69" s="995" t="s">
        <v>1835</v>
      </c>
      <c r="C69" s="995" t="s">
        <v>1836</v>
      </c>
      <c r="D69" s="996">
        <v>32164064</v>
      </c>
      <c r="E69" s="996">
        <v>812204</v>
      </c>
      <c r="F69" s="995" t="s">
        <v>1488</v>
      </c>
      <c r="G69" s="995"/>
      <c r="H69" s="997"/>
      <c r="I69" s="998">
        <v>14533</v>
      </c>
      <c r="J69" s="997"/>
      <c r="K69" s="998">
        <v>0</v>
      </c>
      <c r="L69" s="998"/>
      <c r="M69" s="998"/>
      <c r="N69" s="998"/>
      <c r="O69" s="998"/>
      <c r="P69" s="998"/>
      <c r="Q69" s="998"/>
      <c r="R69" s="998"/>
      <c r="S69" s="998"/>
      <c r="T69" s="998"/>
      <c r="U69" s="998"/>
      <c r="V69" s="997">
        <v>0</v>
      </c>
      <c r="W69" s="998">
        <v>0</v>
      </c>
      <c r="Z69" s="897"/>
      <c r="AA69" s="897"/>
      <c r="AB69" s="897"/>
    </row>
    <row r="70" spans="1:28" x14ac:dyDescent="0.2">
      <c r="A70" s="535">
        <v>1</v>
      </c>
      <c r="B70" s="995" t="s">
        <v>1709</v>
      </c>
      <c r="C70" s="995" t="s">
        <v>1710</v>
      </c>
      <c r="D70" s="996">
        <v>2597378</v>
      </c>
      <c r="E70" s="996">
        <v>812203</v>
      </c>
      <c r="F70" s="995" t="s">
        <v>1488</v>
      </c>
      <c r="G70" s="995" t="s">
        <v>1708</v>
      </c>
      <c r="H70" s="997">
        <f>30/42.5</f>
        <v>0.70588235294117652</v>
      </c>
      <c r="I70" s="1001">
        <v>0</v>
      </c>
      <c r="J70" s="997">
        <f>30/42.5</f>
        <v>0.70588235294117652</v>
      </c>
      <c r="K70" s="1001">
        <v>40000</v>
      </c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997">
        <f>30/42.5</f>
        <v>0.70588235294117652</v>
      </c>
      <c r="W70" s="1001">
        <v>40000</v>
      </c>
      <c r="Z70" s="897"/>
      <c r="AA70" s="897"/>
      <c r="AB70" s="897"/>
    </row>
    <row r="71" spans="1:28" x14ac:dyDescent="0.2">
      <c r="A71" s="540" t="s">
        <v>1493</v>
      </c>
      <c r="B71" s="484"/>
      <c r="C71" s="484"/>
      <c r="D71" s="485"/>
      <c r="E71" s="485"/>
      <c r="F71" s="484"/>
      <c r="G71" s="484"/>
      <c r="H71" s="790">
        <f t="shared" ref="H71:W71" si="3">SUM(H63:H70)</f>
        <v>4.6211764705882352</v>
      </c>
      <c r="I71" s="487">
        <f t="shared" si="3"/>
        <v>260345</v>
      </c>
      <c r="J71" s="932">
        <f t="shared" si="3"/>
        <v>4.6176470588235299</v>
      </c>
      <c r="K71" s="487">
        <f t="shared" si="3"/>
        <v>352000</v>
      </c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932">
        <f t="shared" si="3"/>
        <v>4.6176470588235299</v>
      </c>
      <c r="W71" s="487">
        <f t="shared" si="3"/>
        <v>352000</v>
      </c>
      <c r="Z71" s="897"/>
      <c r="AA71" s="897"/>
      <c r="AB71" s="897"/>
    </row>
    <row r="72" spans="1:28" s="912" customFormat="1" x14ac:dyDescent="0.2">
      <c r="A72" s="535">
        <v>1</v>
      </c>
      <c r="B72" s="374" t="s">
        <v>1331</v>
      </c>
      <c r="C72" s="435" t="s">
        <v>1453</v>
      </c>
      <c r="D72" s="435">
        <v>3117724</v>
      </c>
      <c r="E72" s="435">
        <v>812502</v>
      </c>
      <c r="F72" s="374" t="s">
        <v>1494</v>
      </c>
      <c r="G72" s="374" t="s">
        <v>1495</v>
      </c>
      <c r="H72" s="466">
        <f>15/42.5</f>
        <v>0.35294117647058826</v>
      </c>
      <c r="I72" s="465">
        <v>50000</v>
      </c>
      <c r="J72" s="466">
        <f>15/42.5</f>
        <v>0.35294117647058826</v>
      </c>
      <c r="K72" s="465">
        <v>50000</v>
      </c>
      <c r="L72" s="465"/>
      <c r="M72" s="465"/>
      <c r="N72" s="465"/>
      <c r="O72" s="465"/>
      <c r="P72" s="465"/>
      <c r="Q72" s="465"/>
      <c r="R72" s="465"/>
      <c r="S72" s="465"/>
      <c r="T72" s="465"/>
      <c r="U72" s="465"/>
      <c r="V72" s="466">
        <f>15/42.5</f>
        <v>0.35294117647058826</v>
      </c>
      <c r="W72" s="465">
        <v>50000</v>
      </c>
      <c r="Z72" s="897">
        <v>36900</v>
      </c>
      <c r="AA72" s="897"/>
      <c r="AB72" s="897"/>
    </row>
    <row r="73" spans="1:28" x14ac:dyDescent="0.2">
      <c r="A73" s="535">
        <v>1</v>
      </c>
      <c r="B73" s="374" t="s">
        <v>1111</v>
      </c>
      <c r="C73" s="374" t="s">
        <v>1496</v>
      </c>
      <c r="D73" s="435">
        <v>2999412</v>
      </c>
      <c r="E73" s="435">
        <v>812502</v>
      </c>
      <c r="F73" s="374" t="s">
        <v>1494</v>
      </c>
      <c r="G73" s="374" t="s">
        <v>1495</v>
      </c>
      <c r="H73" s="466">
        <f>40/42.5</f>
        <v>0.94117647058823528</v>
      </c>
      <c r="I73" s="439">
        <v>42000</v>
      </c>
      <c r="J73" s="466">
        <f>40/42.5</f>
        <v>0.94117647058823528</v>
      </c>
      <c r="K73" s="439">
        <v>42000</v>
      </c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66">
        <f>40/42.5</f>
        <v>0.94117647058823528</v>
      </c>
      <c r="W73" s="439">
        <v>42000</v>
      </c>
      <c r="Z73" s="897">
        <v>16502</v>
      </c>
      <c r="AA73" s="897"/>
      <c r="AB73" s="897"/>
    </row>
    <row r="74" spans="1:28" x14ac:dyDescent="0.2">
      <c r="A74" s="535">
        <v>1</v>
      </c>
      <c r="B74" s="374" t="s">
        <v>975</v>
      </c>
      <c r="C74" s="374" t="s">
        <v>1497</v>
      </c>
      <c r="D74" s="435">
        <v>2751317</v>
      </c>
      <c r="E74" s="435">
        <v>812502</v>
      </c>
      <c r="F74" s="374" t="s">
        <v>1494</v>
      </c>
      <c r="G74" s="374" t="s">
        <v>1495</v>
      </c>
      <c r="H74" s="466" t="s">
        <v>1510</v>
      </c>
      <c r="I74" s="439">
        <v>32000</v>
      </c>
      <c r="J74" s="466" t="s">
        <v>1510</v>
      </c>
      <c r="K74" s="439">
        <v>32000</v>
      </c>
      <c r="L74" s="439"/>
      <c r="M74" s="439"/>
      <c r="N74" s="439"/>
      <c r="O74" s="439"/>
      <c r="P74" s="439"/>
      <c r="Q74" s="439"/>
      <c r="R74" s="439"/>
      <c r="S74" s="439"/>
      <c r="T74" s="439"/>
      <c r="U74" s="439"/>
      <c r="V74" s="466" t="s">
        <v>1510</v>
      </c>
      <c r="W74" s="439">
        <v>32000</v>
      </c>
      <c r="Z74" s="897">
        <v>12793</v>
      </c>
      <c r="AA74" s="897"/>
      <c r="AB74" s="897"/>
    </row>
    <row r="75" spans="1:28" x14ac:dyDescent="0.2">
      <c r="A75" s="535">
        <v>1</v>
      </c>
      <c r="B75" s="374" t="s">
        <v>1331</v>
      </c>
      <c r="C75" s="374" t="s">
        <v>1831</v>
      </c>
      <c r="D75" s="435">
        <v>20376327</v>
      </c>
      <c r="E75" s="435">
        <v>812502</v>
      </c>
      <c r="F75" s="374" t="s">
        <v>1494</v>
      </c>
      <c r="G75" s="374" t="s">
        <v>1495</v>
      </c>
      <c r="H75" s="466">
        <f>20/42.5</f>
        <v>0.47058823529411764</v>
      </c>
      <c r="I75" s="439">
        <v>20000</v>
      </c>
      <c r="J75" s="466">
        <v>0.47</v>
      </c>
      <c r="K75" s="439">
        <v>20000</v>
      </c>
      <c r="L75" s="439"/>
      <c r="M75" s="439"/>
      <c r="N75" s="439"/>
      <c r="O75" s="439"/>
      <c r="P75" s="439"/>
      <c r="Q75" s="439"/>
      <c r="R75" s="439"/>
      <c r="S75" s="439"/>
      <c r="T75" s="439"/>
      <c r="U75" s="439"/>
      <c r="V75" s="466">
        <v>0.47</v>
      </c>
      <c r="W75" s="439">
        <v>20000</v>
      </c>
      <c r="Z75" s="897">
        <v>51742</v>
      </c>
      <c r="AA75" s="897"/>
      <c r="AB75" s="897"/>
    </row>
    <row r="76" spans="1:28" x14ac:dyDescent="0.2">
      <c r="A76" s="540" t="s">
        <v>1500</v>
      </c>
      <c r="B76" s="484"/>
      <c r="C76" s="484"/>
      <c r="D76" s="485"/>
      <c r="E76" s="485"/>
      <c r="F76" s="484"/>
      <c r="G76" s="484"/>
      <c r="H76" s="486"/>
      <c r="I76" s="488">
        <f>SUM(I72:I75)</f>
        <v>144000</v>
      </c>
      <c r="J76" s="933">
        <f>SUM(J72:J75)</f>
        <v>1.7641176470588236</v>
      </c>
      <c r="K76" s="488">
        <f t="shared" ref="K76:W76" si="4">SUM(K72:K75)</f>
        <v>144000</v>
      </c>
      <c r="L76" s="488"/>
      <c r="M76" s="488"/>
      <c r="N76" s="488"/>
      <c r="O76" s="488"/>
      <c r="P76" s="488"/>
      <c r="Q76" s="488"/>
      <c r="R76" s="488"/>
      <c r="S76" s="488"/>
      <c r="T76" s="488"/>
      <c r="U76" s="488"/>
      <c r="V76" s="933">
        <f t="shared" si="4"/>
        <v>1.7641176470588236</v>
      </c>
      <c r="W76" s="488">
        <f t="shared" si="4"/>
        <v>144000</v>
      </c>
      <c r="Z76" s="897"/>
      <c r="AA76" s="897"/>
      <c r="AB76" s="897"/>
    </row>
    <row r="77" spans="1:28" s="912" customFormat="1" x14ac:dyDescent="0.2">
      <c r="A77" s="535">
        <v>1</v>
      </c>
      <c r="B77" s="374" t="s">
        <v>1403</v>
      </c>
      <c r="C77" s="374" t="s">
        <v>1501</v>
      </c>
      <c r="D77" s="435">
        <v>99999999</v>
      </c>
      <c r="E77" s="435">
        <v>812512</v>
      </c>
      <c r="F77" s="374" t="s">
        <v>1200</v>
      </c>
      <c r="G77" s="374" t="s">
        <v>1495</v>
      </c>
      <c r="H77" s="466" t="s">
        <v>942</v>
      </c>
      <c r="I77" s="439">
        <v>86000</v>
      </c>
      <c r="J77" s="466" t="s">
        <v>942</v>
      </c>
      <c r="K77" s="439">
        <v>106000</v>
      </c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66" t="s">
        <v>942</v>
      </c>
      <c r="W77" s="439">
        <v>106000</v>
      </c>
      <c r="Z77" s="897"/>
      <c r="AA77" s="897"/>
      <c r="AB77" s="897"/>
    </row>
    <row r="78" spans="1:28" x14ac:dyDescent="0.2">
      <c r="A78" s="535">
        <v>1</v>
      </c>
      <c r="B78" s="374" t="s">
        <v>1438</v>
      </c>
      <c r="C78" s="374" t="s">
        <v>1502</v>
      </c>
      <c r="D78" s="435">
        <v>30266159</v>
      </c>
      <c r="E78" s="435">
        <v>812512</v>
      </c>
      <c r="F78" s="374" t="s">
        <v>1200</v>
      </c>
      <c r="G78" s="374" t="s">
        <v>1495</v>
      </c>
      <c r="H78" s="466" t="s">
        <v>942</v>
      </c>
      <c r="I78" s="439">
        <v>24000</v>
      </c>
      <c r="J78" s="466" t="s">
        <v>942</v>
      </c>
      <c r="K78" s="439">
        <v>24000</v>
      </c>
      <c r="L78" s="439"/>
      <c r="M78" s="439"/>
      <c r="N78" s="439"/>
      <c r="O78" s="439"/>
      <c r="P78" s="439"/>
      <c r="Q78" s="439"/>
      <c r="R78" s="439"/>
      <c r="S78" s="439"/>
      <c r="T78" s="439"/>
      <c r="U78" s="439"/>
      <c r="V78" s="466" t="s">
        <v>942</v>
      </c>
      <c r="W78" s="439">
        <v>24000</v>
      </c>
      <c r="Z78" s="897">
        <v>18893</v>
      </c>
      <c r="AA78" s="897"/>
      <c r="AB78" s="897"/>
    </row>
    <row r="79" spans="1:28" x14ac:dyDescent="0.2">
      <c r="A79" s="540" t="s">
        <v>1503</v>
      </c>
      <c r="B79" s="484"/>
      <c r="C79" s="484"/>
      <c r="D79" s="485"/>
      <c r="E79" s="485"/>
      <c r="F79" s="484"/>
      <c r="G79" s="484"/>
      <c r="H79" s="486"/>
      <c r="I79" s="487">
        <f>SUM(I77:I78)</f>
        <v>110000</v>
      </c>
      <c r="J79" s="487"/>
      <c r="K79" s="487">
        <f t="shared" ref="K79:W79" si="5">SUM(K77:K78)</f>
        <v>130000</v>
      </c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>
        <f t="shared" si="5"/>
        <v>130000</v>
      </c>
      <c r="Z79" s="897"/>
      <c r="AA79" s="897"/>
      <c r="AB79" s="897"/>
    </row>
    <row r="80" spans="1:28" s="912" customFormat="1" x14ac:dyDescent="0.2">
      <c r="A80" s="535">
        <v>1</v>
      </c>
      <c r="B80" s="374" t="s">
        <v>948</v>
      </c>
      <c r="C80" s="374" t="s">
        <v>1706</v>
      </c>
      <c r="D80" s="435">
        <v>2617868</v>
      </c>
      <c r="E80" s="435">
        <v>812513</v>
      </c>
      <c r="F80" s="374" t="s">
        <v>1504</v>
      </c>
      <c r="G80" s="374" t="s">
        <v>1505</v>
      </c>
      <c r="H80" s="466">
        <v>1</v>
      </c>
      <c r="I80" s="439">
        <v>150000</v>
      </c>
      <c r="J80" s="466">
        <v>1</v>
      </c>
      <c r="K80" s="439">
        <v>117000</v>
      </c>
      <c r="L80" s="439"/>
      <c r="M80" s="439"/>
      <c r="N80" s="439"/>
      <c r="O80" s="439"/>
      <c r="P80" s="439"/>
      <c r="Q80" s="439"/>
      <c r="R80" s="439"/>
      <c r="S80" s="439"/>
      <c r="T80" s="439"/>
      <c r="U80" s="439"/>
      <c r="V80" s="466">
        <v>1</v>
      </c>
      <c r="W80" s="439">
        <v>117000</v>
      </c>
      <c r="Z80" s="897">
        <v>12094</v>
      </c>
      <c r="AA80" s="897"/>
      <c r="AB80" s="897"/>
    </row>
    <row r="81" spans="1:28" s="912" customFormat="1" x14ac:dyDescent="0.2">
      <c r="A81" s="542">
        <v>1</v>
      </c>
      <c r="B81" s="374" t="s">
        <v>1403</v>
      </c>
      <c r="C81" s="374" t="s">
        <v>1509</v>
      </c>
      <c r="D81" s="435">
        <v>9999999</v>
      </c>
      <c r="E81" s="435">
        <v>812513</v>
      </c>
      <c r="F81" s="374" t="s">
        <v>1504</v>
      </c>
      <c r="G81" s="374" t="s">
        <v>1505</v>
      </c>
      <c r="H81" s="756" t="s">
        <v>942</v>
      </c>
      <c r="I81" s="439">
        <v>90000</v>
      </c>
      <c r="J81" s="756" t="s">
        <v>942</v>
      </c>
      <c r="K81" s="439">
        <v>75000</v>
      </c>
      <c r="L81" s="1038"/>
      <c r="M81" s="1038"/>
      <c r="N81" s="1038"/>
      <c r="O81" s="1038"/>
      <c r="P81" s="1038"/>
      <c r="Q81" s="1038"/>
      <c r="R81" s="1038"/>
      <c r="S81" s="1038"/>
      <c r="T81" s="1038"/>
      <c r="U81" s="1038"/>
      <c r="V81" s="756" t="s">
        <v>942</v>
      </c>
      <c r="W81" s="439">
        <v>75000</v>
      </c>
      <c r="Z81" s="897"/>
      <c r="AA81" s="897"/>
      <c r="AB81" s="897"/>
    </row>
    <row r="82" spans="1:28" x14ac:dyDescent="0.2">
      <c r="A82" s="540" t="s">
        <v>1506</v>
      </c>
      <c r="B82" s="484"/>
      <c r="C82" s="484"/>
      <c r="D82" s="485"/>
      <c r="E82" s="485"/>
      <c r="F82" s="484"/>
      <c r="G82" s="484"/>
      <c r="H82" s="486"/>
      <c r="I82" s="487">
        <f>SUM(I80:I81)</f>
        <v>240000</v>
      </c>
      <c r="J82" s="931">
        <f>SUM(J80:J81)</f>
        <v>1</v>
      </c>
      <c r="K82" s="487">
        <f t="shared" ref="K82:W82" si="6">SUM(K80:K81)</f>
        <v>192000</v>
      </c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931">
        <f t="shared" si="6"/>
        <v>1</v>
      </c>
      <c r="W82" s="487">
        <f t="shared" si="6"/>
        <v>192000</v>
      </c>
      <c r="Z82" s="897"/>
      <c r="AA82" s="897"/>
      <c r="AB82" s="897"/>
    </row>
    <row r="83" spans="1:28" s="912" customFormat="1" x14ac:dyDescent="0.2">
      <c r="A83" s="535">
        <v>1</v>
      </c>
      <c r="B83" s="374" t="s">
        <v>975</v>
      </c>
      <c r="C83" s="374" t="s">
        <v>1507</v>
      </c>
      <c r="D83" s="435">
        <v>2751317</v>
      </c>
      <c r="E83" s="435">
        <v>812515</v>
      </c>
      <c r="F83" s="374" t="s">
        <v>1508</v>
      </c>
      <c r="G83" s="374" t="s">
        <v>1484</v>
      </c>
      <c r="H83" s="466" t="s">
        <v>942</v>
      </c>
      <c r="I83" s="439">
        <v>50600</v>
      </c>
      <c r="J83" s="466" t="s">
        <v>942</v>
      </c>
      <c r="K83" s="439">
        <v>50600</v>
      </c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66" t="s">
        <v>942</v>
      </c>
      <c r="W83" s="439">
        <v>50600</v>
      </c>
      <c r="Z83" s="897">
        <v>46014</v>
      </c>
      <c r="AA83" s="897"/>
      <c r="AB83" s="897"/>
    </row>
    <row r="84" spans="1:28" x14ac:dyDescent="0.2">
      <c r="A84" s="543"/>
      <c r="B84" s="484"/>
      <c r="C84" s="484"/>
      <c r="D84" s="485"/>
      <c r="E84" s="485"/>
      <c r="F84" s="484"/>
      <c r="G84" s="484"/>
      <c r="H84" s="486"/>
      <c r="I84" s="487">
        <f>SUM(I83:I83)</f>
        <v>50600</v>
      </c>
      <c r="J84" s="487"/>
      <c r="K84" s="487">
        <f t="shared" ref="K84:W84" si="7">SUM(K83:K83)</f>
        <v>50600</v>
      </c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>
        <f t="shared" si="7"/>
        <v>50600</v>
      </c>
      <c r="Z84" s="897"/>
      <c r="AA84" s="897"/>
      <c r="AB84" s="897"/>
    </row>
    <row r="85" spans="1:28" s="912" customFormat="1" x14ac:dyDescent="0.2">
      <c r="A85" s="535">
        <v>1</v>
      </c>
      <c r="B85" s="995" t="s">
        <v>1403</v>
      </c>
      <c r="C85" s="995" t="s">
        <v>1509</v>
      </c>
      <c r="D85" s="996">
        <v>3311181</v>
      </c>
      <c r="E85" s="996">
        <v>812517</v>
      </c>
      <c r="F85" s="473" t="s">
        <v>684</v>
      </c>
      <c r="G85" s="995" t="s">
        <v>1484</v>
      </c>
      <c r="H85" s="997" t="s">
        <v>1510</v>
      </c>
      <c r="I85" s="998">
        <v>0</v>
      </c>
      <c r="J85" s="997" t="s">
        <v>1510</v>
      </c>
      <c r="K85" s="998">
        <v>0</v>
      </c>
      <c r="L85" s="998"/>
      <c r="M85" s="998"/>
      <c r="N85" s="998"/>
      <c r="O85" s="998"/>
      <c r="P85" s="998"/>
      <c r="Q85" s="998"/>
      <c r="R85" s="998"/>
      <c r="S85" s="998"/>
      <c r="T85" s="998"/>
      <c r="U85" s="998"/>
      <c r="V85" s="997" t="s">
        <v>1510</v>
      </c>
      <c r="W85" s="998">
        <v>0</v>
      </c>
      <c r="Z85" s="897"/>
      <c r="AA85" s="897"/>
      <c r="AB85" s="897"/>
    </row>
    <row r="86" spans="1:28" x14ac:dyDescent="0.2">
      <c r="A86" s="540" t="s">
        <v>1511</v>
      </c>
      <c r="B86" s="484"/>
      <c r="C86" s="484"/>
      <c r="D86" s="485"/>
      <c r="E86" s="485"/>
      <c r="F86" s="484"/>
      <c r="G86" s="484"/>
      <c r="H86" s="486"/>
      <c r="I86" s="487">
        <f>SUM(I85:I85)</f>
        <v>0</v>
      </c>
      <c r="J86" s="487"/>
      <c r="K86" s="487">
        <f t="shared" ref="K86:W86" si="8">SUM(K85:K85)</f>
        <v>0</v>
      </c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>
        <f t="shared" si="8"/>
        <v>0</v>
      </c>
      <c r="Z86" s="897"/>
      <c r="AA86" s="897"/>
      <c r="AB86" s="897"/>
    </row>
    <row r="87" spans="1:28" x14ac:dyDescent="0.2">
      <c r="A87" s="535">
        <v>1</v>
      </c>
      <c r="B87" s="374" t="s">
        <v>1479</v>
      </c>
      <c r="C87" s="374" t="s">
        <v>1002</v>
      </c>
      <c r="D87" s="435">
        <v>5992866</v>
      </c>
      <c r="E87" s="435">
        <v>813200</v>
      </c>
      <c r="F87" s="374" t="s">
        <v>1512</v>
      </c>
      <c r="G87" s="374" t="s">
        <v>1213</v>
      </c>
      <c r="H87" s="466">
        <v>1</v>
      </c>
      <c r="I87" s="439">
        <v>92588</v>
      </c>
      <c r="J87" s="466">
        <v>1</v>
      </c>
      <c r="K87" s="439">
        <v>96000</v>
      </c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66">
        <v>1</v>
      </c>
      <c r="W87" s="439">
        <v>96000</v>
      </c>
      <c r="Z87" s="897">
        <v>85395</v>
      </c>
      <c r="AA87" s="897"/>
      <c r="AB87" s="897"/>
    </row>
    <row r="88" spans="1:28" x14ac:dyDescent="0.2">
      <c r="A88" s="1002">
        <v>1</v>
      </c>
      <c r="B88" s="995" t="s">
        <v>1513</v>
      </c>
      <c r="C88" s="995" t="s">
        <v>924</v>
      </c>
      <c r="D88" s="996">
        <v>2767428</v>
      </c>
      <c r="E88" s="996">
        <v>813200</v>
      </c>
      <c r="F88" s="995" t="s">
        <v>1514</v>
      </c>
      <c r="G88" s="995" t="s">
        <v>1213</v>
      </c>
      <c r="H88" s="997">
        <v>1</v>
      </c>
      <c r="I88" s="998">
        <v>33323</v>
      </c>
      <c r="J88" s="997">
        <v>0.5</v>
      </c>
      <c r="K88" s="998">
        <v>35000</v>
      </c>
      <c r="L88" s="998"/>
      <c r="M88" s="998"/>
      <c r="N88" s="998"/>
      <c r="O88" s="998"/>
      <c r="P88" s="998"/>
      <c r="Q88" s="998"/>
      <c r="R88" s="998"/>
      <c r="S88" s="998"/>
      <c r="T88" s="998"/>
      <c r="U88" s="998"/>
      <c r="V88" s="997">
        <v>0</v>
      </c>
      <c r="W88" s="998">
        <v>0</v>
      </c>
      <c r="Z88" s="897">
        <v>30316</v>
      </c>
      <c r="AA88" s="897"/>
      <c r="AB88" s="897"/>
    </row>
    <row r="89" spans="1:28" s="911" customFormat="1" x14ac:dyDescent="0.2">
      <c r="A89" s="1002">
        <v>1</v>
      </c>
      <c r="B89" s="995" t="s">
        <v>1025</v>
      </c>
      <c r="C89" s="995" t="s">
        <v>1081</v>
      </c>
      <c r="D89" s="996">
        <v>4052215</v>
      </c>
      <c r="E89" s="996">
        <v>813200</v>
      </c>
      <c r="F89" s="995" t="s">
        <v>1514</v>
      </c>
      <c r="G89" s="995" t="s">
        <v>1213</v>
      </c>
      <c r="H89" s="997">
        <v>1</v>
      </c>
      <c r="I89" s="998">
        <v>40713</v>
      </c>
      <c r="J89" s="997">
        <v>0</v>
      </c>
      <c r="K89" s="998">
        <v>0</v>
      </c>
      <c r="L89" s="998"/>
      <c r="M89" s="998"/>
      <c r="N89" s="998"/>
      <c r="O89" s="998"/>
      <c r="P89" s="998"/>
      <c r="Q89" s="998"/>
      <c r="R89" s="998"/>
      <c r="S89" s="998"/>
      <c r="T89" s="998"/>
      <c r="U89" s="998"/>
      <c r="V89" s="997">
        <v>0</v>
      </c>
      <c r="W89" s="998">
        <v>0</v>
      </c>
      <c r="Z89" s="923">
        <v>40714</v>
      </c>
      <c r="AA89" s="923"/>
      <c r="AB89" s="923"/>
    </row>
    <row r="90" spans="1:28" x14ac:dyDescent="0.2">
      <c r="A90" s="544">
        <v>1</v>
      </c>
      <c r="B90" s="377" t="s">
        <v>1438</v>
      </c>
      <c r="C90" s="377" t="s">
        <v>1515</v>
      </c>
      <c r="D90" s="437">
        <v>5703171</v>
      </c>
      <c r="E90" s="437">
        <v>813200</v>
      </c>
      <c r="F90" s="377" t="s">
        <v>1516</v>
      </c>
      <c r="G90" s="377" t="s">
        <v>1213</v>
      </c>
      <c r="H90" s="467">
        <v>1</v>
      </c>
      <c r="I90" s="439">
        <v>93320</v>
      </c>
      <c r="J90" s="467">
        <v>1</v>
      </c>
      <c r="K90" s="439">
        <v>96000</v>
      </c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467">
        <v>1</v>
      </c>
      <c r="W90" s="439">
        <v>96000</v>
      </c>
      <c r="Z90" s="897">
        <v>86307</v>
      </c>
      <c r="AA90" s="897"/>
      <c r="AB90" s="897"/>
    </row>
    <row r="91" spans="1:28" x14ac:dyDescent="0.2">
      <c r="A91" s="544">
        <v>1</v>
      </c>
      <c r="B91" s="377" t="s">
        <v>975</v>
      </c>
      <c r="C91" s="377" t="s">
        <v>1013</v>
      </c>
      <c r="D91" s="437">
        <v>5938504</v>
      </c>
      <c r="E91" s="437">
        <v>742200</v>
      </c>
      <c r="F91" s="377" t="s">
        <v>1521</v>
      </c>
      <c r="G91" s="377" t="s">
        <v>1010</v>
      </c>
      <c r="H91" s="467">
        <v>1</v>
      </c>
      <c r="I91" s="439">
        <v>0</v>
      </c>
      <c r="J91" s="467">
        <v>1</v>
      </c>
      <c r="K91" s="439">
        <v>130000</v>
      </c>
      <c r="L91" s="1037"/>
      <c r="M91" s="1037"/>
      <c r="N91" s="1037"/>
      <c r="O91" s="1037"/>
      <c r="P91" s="1037"/>
      <c r="Q91" s="1037"/>
      <c r="R91" s="1037"/>
      <c r="S91" s="1037"/>
      <c r="T91" s="1037"/>
      <c r="U91" s="1037"/>
      <c r="V91" s="467">
        <v>1</v>
      </c>
      <c r="W91" s="439">
        <v>130000</v>
      </c>
      <c r="Z91" s="897"/>
      <c r="AA91" s="897"/>
      <c r="AB91" s="897"/>
    </row>
    <row r="92" spans="1:28" x14ac:dyDescent="0.2">
      <c r="A92" s="540" t="s">
        <v>1517</v>
      </c>
      <c r="B92" s="484"/>
      <c r="C92" s="484"/>
      <c r="D92" s="485"/>
      <c r="E92" s="485"/>
      <c r="F92" s="484"/>
      <c r="G92" s="484"/>
      <c r="H92" s="486">
        <f>SUM(H87:H91)</f>
        <v>5</v>
      </c>
      <c r="I92" s="487">
        <f t="shared" ref="I92:W92" si="9">SUM(I87:I91)</f>
        <v>259944</v>
      </c>
      <c r="J92" s="932">
        <f t="shared" si="9"/>
        <v>3.5</v>
      </c>
      <c r="K92" s="487">
        <f t="shared" si="9"/>
        <v>357000</v>
      </c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932">
        <f t="shared" si="9"/>
        <v>3</v>
      </c>
      <c r="W92" s="487">
        <f t="shared" si="9"/>
        <v>322000</v>
      </c>
      <c r="Z92" s="897">
        <v>70620</v>
      </c>
      <c r="AA92" s="897"/>
      <c r="AB92" s="897"/>
    </row>
    <row r="93" spans="1:28" x14ac:dyDescent="0.2">
      <c r="A93" s="535">
        <v>1</v>
      </c>
      <c r="B93" s="374" t="s">
        <v>1479</v>
      </c>
      <c r="C93" s="374" t="s">
        <v>1518</v>
      </c>
      <c r="D93" s="435">
        <v>3996233</v>
      </c>
      <c r="E93" s="435">
        <v>813201</v>
      </c>
      <c r="F93" s="374" t="s">
        <v>1516</v>
      </c>
      <c r="G93" s="374" t="s">
        <v>931</v>
      </c>
      <c r="H93" s="466">
        <v>0.75</v>
      </c>
      <c r="I93" s="439">
        <v>76848</v>
      </c>
      <c r="J93" s="466">
        <v>0.75</v>
      </c>
      <c r="K93" s="439">
        <v>77000</v>
      </c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66">
        <v>0.75</v>
      </c>
      <c r="W93" s="439">
        <v>77000</v>
      </c>
      <c r="Z93" s="897">
        <v>82739</v>
      </c>
      <c r="AA93" s="897"/>
      <c r="AB93" s="897"/>
    </row>
    <row r="94" spans="1:28" x14ac:dyDescent="0.2">
      <c r="A94" s="535">
        <v>1</v>
      </c>
      <c r="B94" s="374" t="s">
        <v>987</v>
      </c>
      <c r="C94" s="374" t="s">
        <v>1519</v>
      </c>
      <c r="D94" s="435">
        <v>2318530</v>
      </c>
      <c r="E94" s="435">
        <v>813201</v>
      </c>
      <c r="F94" s="374" t="s">
        <v>1512</v>
      </c>
      <c r="G94" s="374" t="s">
        <v>931</v>
      </c>
      <c r="H94" s="466">
        <v>0.83</v>
      </c>
      <c r="I94" s="439">
        <v>89805</v>
      </c>
      <c r="J94" s="466">
        <v>0.83</v>
      </c>
      <c r="K94" s="439">
        <v>90000</v>
      </c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66">
        <v>0.83</v>
      </c>
      <c r="W94" s="439">
        <v>90000</v>
      </c>
      <c r="Z94" s="897">
        <v>52920</v>
      </c>
      <c r="AA94" s="897"/>
      <c r="AB94" s="897"/>
    </row>
    <row r="95" spans="1:28" x14ac:dyDescent="0.2">
      <c r="A95" s="535">
        <v>1</v>
      </c>
      <c r="B95" s="374" t="s">
        <v>1005</v>
      </c>
      <c r="C95" s="374" t="s">
        <v>1520</v>
      </c>
      <c r="D95" s="435">
        <v>30305481</v>
      </c>
      <c r="E95" s="435">
        <v>813201</v>
      </c>
      <c r="F95" s="374" t="s">
        <v>1512</v>
      </c>
      <c r="G95" s="374" t="s">
        <v>931</v>
      </c>
      <c r="H95" s="466">
        <v>0.6</v>
      </c>
      <c r="I95" s="439">
        <v>57050</v>
      </c>
      <c r="J95" s="466">
        <v>0.6</v>
      </c>
      <c r="K95" s="439">
        <v>58000</v>
      </c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66">
        <v>0.6</v>
      </c>
      <c r="W95" s="439">
        <v>58000</v>
      </c>
      <c r="Z95" s="897">
        <v>97447</v>
      </c>
      <c r="AA95" s="897"/>
      <c r="AB95" s="897"/>
    </row>
    <row r="96" spans="1:28" x14ac:dyDescent="0.2">
      <c r="A96" s="535">
        <v>1</v>
      </c>
      <c r="B96" s="374" t="s">
        <v>1050</v>
      </c>
      <c r="C96" s="374" t="s">
        <v>1071</v>
      </c>
      <c r="D96" s="435">
        <v>5439348</v>
      </c>
      <c r="E96" s="435">
        <v>813201</v>
      </c>
      <c r="F96" s="374" t="s">
        <v>1521</v>
      </c>
      <c r="G96" s="374" t="s">
        <v>931</v>
      </c>
      <c r="H96" s="466">
        <v>0.8</v>
      </c>
      <c r="I96" s="439">
        <v>105194</v>
      </c>
      <c r="J96" s="466">
        <v>0.8</v>
      </c>
      <c r="K96" s="439">
        <v>105000</v>
      </c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66">
        <v>0.8</v>
      </c>
      <c r="W96" s="439">
        <v>105000</v>
      </c>
      <c r="Z96" s="897">
        <v>50000</v>
      </c>
      <c r="AA96" s="897"/>
      <c r="AB96" s="897"/>
    </row>
    <row r="97" spans="1:28" x14ac:dyDescent="0.2">
      <c r="A97" s="535">
        <v>1</v>
      </c>
      <c r="B97" s="374" t="s">
        <v>928</v>
      </c>
      <c r="C97" s="374" t="s">
        <v>1522</v>
      </c>
      <c r="D97" s="435">
        <v>2617588</v>
      </c>
      <c r="E97" s="435">
        <v>813201</v>
      </c>
      <c r="F97" s="374" t="s">
        <v>1521</v>
      </c>
      <c r="G97" s="374" t="s">
        <v>931</v>
      </c>
      <c r="H97" s="466">
        <v>0.6</v>
      </c>
      <c r="I97" s="439">
        <v>54348</v>
      </c>
      <c r="J97" s="466">
        <v>0.6</v>
      </c>
      <c r="K97" s="439">
        <v>55000</v>
      </c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66">
        <v>0.6</v>
      </c>
      <c r="W97" s="439">
        <v>55000</v>
      </c>
      <c r="Z97" s="897">
        <v>87675</v>
      </c>
      <c r="AA97" s="897"/>
      <c r="AB97" s="897"/>
    </row>
    <row r="98" spans="1:28" x14ac:dyDescent="0.2">
      <c r="A98" s="535">
        <v>1</v>
      </c>
      <c r="B98" s="374" t="s">
        <v>924</v>
      </c>
      <c r="C98" s="374" t="s">
        <v>1523</v>
      </c>
      <c r="D98" s="435">
        <v>5897615</v>
      </c>
      <c r="E98" s="435">
        <v>813201</v>
      </c>
      <c r="F98" s="374" t="s">
        <v>1524</v>
      </c>
      <c r="G98" s="374" t="s">
        <v>1525</v>
      </c>
      <c r="H98" s="466">
        <v>0.83</v>
      </c>
      <c r="I98" s="439">
        <v>94910</v>
      </c>
      <c r="J98" s="466">
        <v>0.83</v>
      </c>
      <c r="K98" s="439">
        <v>95000</v>
      </c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66">
        <v>0.83</v>
      </c>
      <c r="W98" s="439">
        <v>95000</v>
      </c>
      <c r="Z98" s="897">
        <v>69599</v>
      </c>
      <c r="AA98" s="897"/>
      <c r="AB98" s="897"/>
    </row>
    <row r="99" spans="1:28" x14ac:dyDescent="0.2">
      <c r="A99" s="535">
        <v>1</v>
      </c>
      <c r="B99" s="374" t="s">
        <v>951</v>
      </c>
      <c r="C99" s="374" t="s">
        <v>1526</v>
      </c>
      <c r="D99" s="435">
        <v>2996869</v>
      </c>
      <c r="E99" s="435">
        <v>813201</v>
      </c>
      <c r="F99" s="374" t="s">
        <v>1524</v>
      </c>
      <c r="G99" s="374" t="s">
        <v>931</v>
      </c>
      <c r="H99" s="466">
        <v>0.8</v>
      </c>
      <c r="I99" s="439">
        <v>75732</v>
      </c>
      <c r="J99" s="466">
        <v>0.8</v>
      </c>
      <c r="K99" s="439">
        <v>76000</v>
      </c>
      <c r="L99" s="439"/>
      <c r="M99" s="439"/>
      <c r="N99" s="439"/>
      <c r="O99" s="439"/>
      <c r="P99" s="439"/>
      <c r="Q99" s="439"/>
      <c r="R99" s="439"/>
      <c r="S99" s="439"/>
      <c r="T99" s="439"/>
      <c r="U99" s="439"/>
      <c r="V99" s="466">
        <v>0.8</v>
      </c>
      <c r="W99" s="439">
        <v>76000</v>
      </c>
      <c r="Z99" s="897"/>
      <c r="AA99" s="897"/>
      <c r="AB99" s="897"/>
    </row>
    <row r="100" spans="1:28" s="912" customFormat="1" x14ac:dyDescent="0.2">
      <c r="A100" s="540" t="s">
        <v>1527</v>
      </c>
      <c r="B100" s="484"/>
      <c r="C100" s="484"/>
      <c r="D100" s="485"/>
      <c r="E100" s="485"/>
      <c r="F100" s="484"/>
      <c r="G100" s="484"/>
      <c r="H100" s="486"/>
      <c r="I100" s="487">
        <f>SUM(I93:I99)</f>
        <v>553887</v>
      </c>
      <c r="J100" s="932">
        <f>SUM(J93:J99)</f>
        <v>5.21</v>
      </c>
      <c r="K100" s="487">
        <f>SUM(K93:K99)</f>
        <v>556000</v>
      </c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932">
        <f>SUM(V93:V99)</f>
        <v>5.21</v>
      </c>
      <c r="W100" s="487">
        <f>SUM(W93:W99)</f>
        <v>556000</v>
      </c>
      <c r="Z100" s="897">
        <v>51827</v>
      </c>
      <c r="AA100" s="897"/>
      <c r="AB100" s="897"/>
    </row>
    <row r="101" spans="1:28" x14ac:dyDescent="0.2">
      <c r="A101" s="535">
        <v>1</v>
      </c>
      <c r="B101" s="374" t="s">
        <v>1528</v>
      </c>
      <c r="C101" s="374" t="s">
        <v>1496</v>
      </c>
      <c r="D101" s="435">
        <v>5698570</v>
      </c>
      <c r="E101" s="435">
        <v>813202</v>
      </c>
      <c r="F101" s="374" t="s">
        <v>1529</v>
      </c>
      <c r="G101" s="374" t="s">
        <v>981</v>
      </c>
      <c r="H101" s="466">
        <v>0.6</v>
      </c>
      <c r="I101" s="439">
        <v>56170</v>
      </c>
      <c r="J101" s="466">
        <v>0.6</v>
      </c>
      <c r="K101" s="439">
        <v>56170</v>
      </c>
      <c r="L101" s="439"/>
      <c r="M101" s="439"/>
      <c r="N101" s="439"/>
      <c r="O101" s="439"/>
      <c r="P101" s="439"/>
      <c r="Q101" s="439"/>
      <c r="R101" s="439"/>
      <c r="S101" s="439"/>
      <c r="T101" s="439"/>
      <c r="U101" s="439"/>
      <c r="V101" s="466">
        <v>0.6</v>
      </c>
      <c r="W101" s="439">
        <v>56170</v>
      </c>
      <c r="Z101" s="897">
        <v>50255</v>
      </c>
      <c r="AA101" s="897"/>
      <c r="AB101" s="897"/>
    </row>
    <row r="102" spans="1:28" x14ac:dyDescent="0.2">
      <c r="A102" s="535">
        <v>1</v>
      </c>
      <c r="B102" s="374" t="s">
        <v>924</v>
      </c>
      <c r="C102" s="374" t="s">
        <v>1530</v>
      </c>
      <c r="D102" s="435">
        <v>5625625</v>
      </c>
      <c r="E102" s="435">
        <v>813202</v>
      </c>
      <c r="F102" s="374" t="s">
        <v>1529</v>
      </c>
      <c r="G102" s="374" t="s">
        <v>981</v>
      </c>
      <c r="H102" s="466">
        <v>0.6</v>
      </c>
      <c r="I102" s="439">
        <v>54503</v>
      </c>
      <c r="J102" s="466">
        <v>0.6</v>
      </c>
      <c r="K102" s="439">
        <v>54503</v>
      </c>
      <c r="L102" s="439"/>
      <c r="M102" s="439"/>
      <c r="N102" s="439"/>
      <c r="O102" s="439"/>
      <c r="P102" s="439"/>
      <c r="Q102" s="439"/>
      <c r="R102" s="439"/>
      <c r="S102" s="439"/>
      <c r="T102" s="439"/>
      <c r="U102" s="439"/>
      <c r="V102" s="466">
        <v>0.6</v>
      </c>
      <c r="W102" s="439">
        <v>54503</v>
      </c>
      <c r="Z102" s="897">
        <v>49867</v>
      </c>
      <c r="AA102" s="897"/>
      <c r="AB102" s="897"/>
    </row>
    <row r="103" spans="1:28" x14ac:dyDescent="0.2">
      <c r="A103" s="535">
        <v>1</v>
      </c>
      <c r="B103" s="374" t="s">
        <v>1531</v>
      </c>
      <c r="C103" s="374" t="s">
        <v>1532</v>
      </c>
      <c r="D103" s="435">
        <v>5515862</v>
      </c>
      <c r="E103" s="435">
        <v>813202</v>
      </c>
      <c r="F103" s="374" t="s">
        <v>1529</v>
      </c>
      <c r="G103" s="374" t="s">
        <v>981</v>
      </c>
      <c r="H103" s="466">
        <v>0.6</v>
      </c>
      <c r="I103" s="439">
        <v>54135</v>
      </c>
      <c r="J103" s="466">
        <v>0.6</v>
      </c>
      <c r="K103" s="439">
        <v>54135</v>
      </c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66">
        <v>0.6</v>
      </c>
      <c r="W103" s="439">
        <v>54135</v>
      </c>
      <c r="Z103" s="897">
        <v>42213</v>
      </c>
      <c r="AA103" s="897"/>
      <c r="AB103" s="897"/>
    </row>
    <row r="104" spans="1:28" x14ac:dyDescent="0.2">
      <c r="A104" s="535">
        <v>1</v>
      </c>
      <c r="B104" s="374" t="s">
        <v>1087</v>
      </c>
      <c r="C104" s="374" t="s">
        <v>1533</v>
      </c>
      <c r="D104" s="435">
        <v>5484140</v>
      </c>
      <c r="E104" s="435">
        <v>813202</v>
      </c>
      <c r="F104" s="374" t="s">
        <v>1529</v>
      </c>
      <c r="G104" s="374" t="s">
        <v>981</v>
      </c>
      <c r="H104" s="466">
        <v>0.6</v>
      </c>
      <c r="I104" s="439">
        <v>45789</v>
      </c>
      <c r="J104" s="466">
        <v>0.6</v>
      </c>
      <c r="K104" s="439">
        <v>45789</v>
      </c>
      <c r="L104" s="439"/>
      <c r="M104" s="439"/>
      <c r="N104" s="439"/>
      <c r="O104" s="439"/>
      <c r="P104" s="439"/>
      <c r="Q104" s="439"/>
      <c r="R104" s="439"/>
      <c r="S104" s="439"/>
      <c r="T104" s="439"/>
      <c r="U104" s="439"/>
      <c r="V104" s="466">
        <v>0.6</v>
      </c>
      <c r="W104" s="439">
        <v>45789</v>
      </c>
      <c r="Z104" s="897">
        <v>9879</v>
      </c>
      <c r="AA104" s="897"/>
      <c r="AB104" s="897"/>
    </row>
    <row r="105" spans="1:28" x14ac:dyDescent="0.2">
      <c r="A105" s="535">
        <v>1</v>
      </c>
      <c r="B105" s="374" t="s">
        <v>1534</v>
      </c>
      <c r="C105" s="374" t="s">
        <v>1535</v>
      </c>
      <c r="D105" s="435">
        <v>5947329</v>
      </c>
      <c r="E105" s="435">
        <v>813202</v>
      </c>
      <c r="F105" s="374" t="s">
        <v>1529</v>
      </c>
      <c r="G105" s="374" t="s">
        <v>981</v>
      </c>
      <c r="H105" s="466">
        <f>20/42.5</f>
        <v>0.47058823529411764</v>
      </c>
      <c r="I105" s="439">
        <v>9900</v>
      </c>
      <c r="J105" s="466">
        <f>20/42.5</f>
        <v>0.47058823529411764</v>
      </c>
      <c r="K105" s="439">
        <v>9900</v>
      </c>
      <c r="L105" s="439"/>
      <c r="M105" s="439"/>
      <c r="N105" s="439"/>
      <c r="O105" s="439"/>
      <c r="P105" s="439"/>
      <c r="Q105" s="439"/>
      <c r="R105" s="439"/>
      <c r="S105" s="439"/>
      <c r="T105" s="439"/>
      <c r="U105" s="439"/>
      <c r="V105" s="466">
        <f>20/42.5</f>
        <v>0.47058823529411764</v>
      </c>
      <c r="W105" s="439">
        <v>9900</v>
      </c>
      <c r="Z105" s="897">
        <v>51768</v>
      </c>
      <c r="AA105" s="897"/>
      <c r="AB105" s="897"/>
    </row>
    <row r="106" spans="1:28" x14ac:dyDescent="0.2">
      <c r="A106" s="535">
        <v>1</v>
      </c>
      <c r="B106" s="374" t="s">
        <v>939</v>
      </c>
      <c r="C106" s="374" t="s">
        <v>1536</v>
      </c>
      <c r="D106" s="435">
        <v>5760108</v>
      </c>
      <c r="E106" s="435">
        <v>813202</v>
      </c>
      <c r="F106" s="374" t="s">
        <v>1514</v>
      </c>
      <c r="G106" s="374" t="s">
        <v>981</v>
      </c>
      <c r="H106" s="466">
        <v>0.6</v>
      </c>
      <c r="I106" s="439">
        <v>56148</v>
      </c>
      <c r="J106" s="466">
        <v>0.6</v>
      </c>
      <c r="K106" s="439">
        <v>56148</v>
      </c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66">
        <v>0.6</v>
      </c>
      <c r="W106" s="439">
        <v>56148</v>
      </c>
      <c r="Z106" s="897">
        <v>53383</v>
      </c>
      <c r="AA106" s="897"/>
      <c r="AB106" s="897"/>
    </row>
    <row r="107" spans="1:28" x14ac:dyDescent="0.2">
      <c r="A107" s="535">
        <v>1</v>
      </c>
      <c r="B107" s="374" t="s">
        <v>1098</v>
      </c>
      <c r="C107" s="374" t="s">
        <v>1537</v>
      </c>
      <c r="D107" s="435">
        <v>2833796</v>
      </c>
      <c r="E107" s="435">
        <v>813202</v>
      </c>
      <c r="F107" s="374" t="s">
        <v>1514</v>
      </c>
      <c r="G107" s="374" t="s">
        <v>981</v>
      </c>
      <c r="H107" s="466">
        <v>0.6</v>
      </c>
      <c r="I107" s="439">
        <v>57782</v>
      </c>
      <c r="J107" s="466">
        <v>0.6</v>
      </c>
      <c r="K107" s="439">
        <v>57782</v>
      </c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66">
        <v>0.6</v>
      </c>
      <c r="W107" s="439">
        <v>57782</v>
      </c>
      <c r="Z107" s="897">
        <v>54241</v>
      </c>
      <c r="AA107" s="897"/>
      <c r="AB107" s="897"/>
    </row>
    <row r="108" spans="1:28" x14ac:dyDescent="0.2">
      <c r="A108" s="535">
        <v>1</v>
      </c>
      <c r="B108" s="374" t="s">
        <v>1035</v>
      </c>
      <c r="C108" s="374" t="s">
        <v>1538</v>
      </c>
      <c r="D108" s="435">
        <v>2750510</v>
      </c>
      <c r="E108" s="435">
        <v>813202</v>
      </c>
      <c r="F108" s="374" t="s">
        <v>1514</v>
      </c>
      <c r="G108" s="374" t="s">
        <v>981</v>
      </c>
      <c r="H108" s="466">
        <v>0.6</v>
      </c>
      <c r="I108" s="439">
        <v>58698</v>
      </c>
      <c r="J108" s="466">
        <v>0.6</v>
      </c>
      <c r="K108" s="439">
        <v>58698</v>
      </c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66">
        <v>0.6</v>
      </c>
      <c r="W108" s="439">
        <v>58698</v>
      </c>
      <c r="Z108" s="897">
        <v>53202</v>
      </c>
      <c r="AA108" s="897"/>
      <c r="AB108" s="897"/>
    </row>
    <row r="109" spans="1:28" x14ac:dyDescent="0.2">
      <c r="A109" s="535">
        <v>1</v>
      </c>
      <c r="B109" s="374" t="s">
        <v>955</v>
      </c>
      <c r="C109" s="374" t="s">
        <v>1396</v>
      </c>
      <c r="D109" s="435">
        <v>2977830</v>
      </c>
      <c r="E109" s="435">
        <v>813202</v>
      </c>
      <c r="F109" s="374" t="s">
        <v>1514</v>
      </c>
      <c r="G109" s="374" t="s">
        <v>981</v>
      </c>
      <c r="H109" s="466">
        <v>0.6</v>
      </c>
      <c r="I109" s="439">
        <v>57588</v>
      </c>
      <c r="J109" s="466">
        <v>0.6</v>
      </c>
      <c r="K109" s="439">
        <v>57588</v>
      </c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66">
        <v>0.6</v>
      </c>
      <c r="W109" s="439">
        <v>57588</v>
      </c>
      <c r="Z109" s="897">
        <v>40065</v>
      </c>
      <c r="AA109" s="897"/>
      <c r="AB109" s="897"/>
    </row>
    <row r="110" spans="1:28" x14ac:dyDescent="0.2">
      <c r="A110" s="535">
        <v>1</v>
      </c>
      <c r="B110" s="374" t="s">
        <v>943</v>
      </c>
      <c r="C110" s="374" t="s">
        <v>1539</v>
      </c>
      <c r="D110" s="435">
        <v>20055794</v>
      </c>
      <c r="E110" s="435">
        <v>813202</v>
      </c>
      <c r="F110" s="374" t="s">
        <v>1541</v>
      </c>
      <c r="G110" s="374" t="s">
        <v>981</v>
      </c>
      <c r="H110" s="466">
        <v>0.6</v>
      </c>
      <c r="I110" s="439">
        <v>40065</v>
      </c>
      <c r="J110" s="466">
        <v>0.6</v>
      </c>
      <c r="K110" s="439">
        <v>40065</v>
      </c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66">
        <v>0.6</v>
      </c>
      <c r="W110" s="439">
        <v>40065</v>
      </c>
      <c r="Z110" s="897">
        <v>10174</v>
      </c>
      <c r="AA110" s="897"/>
      <c r="AB110" s="897"/>
    </row>
    <row r="111" spans="1:28" x14ac:dyDescent="0.2">
      <c r="A111" s="535"/>
      <c r="B111" s="535" t="s">
        <v>1377</v>
      </c>
      <c r="C111" s="374" t="s">
        <v>1378</v>
      </c>
      <c r="D111" s="374">
        <v>5891062</v>
      </c>
      <c r="E111" s="435">
        <v>829000</v>
      </c>
      <c r="F111" s="374" t="s">
        <v>1541</v>
      </c>
      <c r="G111" s="374" t="s">
        <v>981</v>
      </c>
      <c r="H111" s="466">
        <v>0</v>
      </c>
      <c r="I111" s="439">
        <v>0</v>
      </c>
      <c r="J111" s="466">
        <v>0</v>
      </c>
      <c r="K111" s="439">
        <v>0</v>
      </c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66">
        <v>0.6</v>
      </c>
      <c r="W111" s="439">
        <v>0</v>
      </c>
      <c r="Z111" s="897">
        <v>76400</v>
      </c>
      <c r="AA111" s="897"/>
      <c r="AB111" s="897"/>
    </row>
    <row r="112" spans="1:28" x14ac:dyDescent="0.2">
      <c r="A112" s="535">
        <v>1</v>
      </c>
      <c r="B112" s="995" t="s">
        <v>1540</v>
      </c>
      <c r="C112" s="995" t="s">
        <v>1129</v>
      </c>
      <c r="D112" s="996">
        <v>5947985</v>
      </c>
      <c r="E112" s="996">
        <v>813202</v>
      </c>
      <c r="F112" s="995" t="s">
        <v>1541</v>
      </c>
      <c r="G112" s="995" t="s">
        <v>981</v>
      </c>
      <c r="H112" s="997">
        <v>0.6</v>
      </c>
      <c r="I112" s="998">
        <v>10174</v>
      </c>
      <c r="J112" s="997">
        <v>0.6</v>
      </c>
      <c r="K112" s="998">
        <v>10174</v>
      </c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7">
        <v>0.6</v>
      </c>
      <c r="W112" s="998">
        <v>10174</v>
      </c>
      <c r="Z112" s="897">
        <v>67844</v>
      </c>
      <c r="AA112" s="897"/>
      <c r="AB112" s="897"/>
    </row>
    <row r="113" spans="1:28" x14ac:dyDescent="0.2">
      <c r="A113" s="535">
        <v>1</v>
      </c>
      <c r="B113" s="374" t="s">
        <v>955</v>
      </c>
      <c r="C113" s="374" t="s">
        <v>1542</v>
      </c>
      <c r="D113" s="435">
        <v>5443641</v>
      </c>
      <c r="E113" s="435">
        <v>813202</v>
      </c>
      <c r="F113" s="374" t="s">
        <v>1541</v>
      </c>
      <c r="G113" s="374" t="s">
        <v>981</v>
      </c>
      <c r="H113" s="466">
        <v>0.6</v>
      </c>
      <c r="I113" s="439">
        <v>83031</v>
      </c>
      <c r="J113" s="466">
        <v>0.6</v>
      </c>
      <c r="K113" s="439">
        <v>83031</v>
      </c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66">
        <v>0.6</v>
      </c>
      <c r="W113" s="439">
        <v>83031</v>
      </c>
      <c r="Z113" s="897">
        <v>50458</v>
      </c>
      <c r="AA113" s="897"/>
      <c r="AB113" s="897"/>
    </row>
    <row r="114" spans="1:28" x14ac:dyDescent="0.2">
      <c r="A114" s="535">
        <v>1</v>
      </c>
      <c r="B114" s="374" t="s">
        <v>955</v>
      </c>
      <c r="C114" s="374" t="s">
        <v>1543</v>
      </c>
      <c r="D114" s="435">
        <v>5944922</v>
      </c>
      <c r="E114" s="435">
        <v>813202</v>
      </c>
      <c r="F114" s="374" t="s">
        <v>1541</v>
      </c>
      <c r="G114" s="374" t="s">
        <v>981</v>
      </c>
      <c r="H114" s="466">
        <v>0.6</v>
      </c>
      <c r="I114" s="439">
        <v>74500</v>
      </c>
      <c r="J114" s="466">
        <v>0.6</v>
      </c>
      <c r="K114" s="439">
        <v>74500</v>
      </c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66">
        <v>0.6</v>
      </c>
      <c r="W114" s="439">
        <v>74500</v>
      </c>
      <c r="Z114" s="897">
        <v>37905</v>
      </c>
      <c r="AA114" s="897"/>
      <c r="AB114" s="897"/>
    </row>
    <row r="115" spans="1:28" x14ac:dyDescent="0.2">
      <c r="A115" s="535">
        <v>1</v>
      </c>
      <c r="B115" s="374" t="s">
        <v>975</v>
      </c>
      <c r="C115" s="374" t="s">
        <v>1544</v>
      </c>
      <c r="D115" s="435">
        <v>5853061</v>
      </c>
      <c r="E115" s="435">
        <v>813202</v>
      </c>
      <c r="F115" s="374" t="s">
        <v>1524</v>
      </c>
      <c r="G115" s="374" t="s">
        <v>981</v>
      </c>
      <c r="H115" s="466">
        <v>0.6</v>
      </c>
      <c r="I115" s="439">
        <v>54482</v>
      </c>
      <c r="J115" s="466">
        <v>0.6</v>
      </c>
      <c r="K115" s="439">
        <v>54482</v>
      </c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66">
        <v>0</v>
      </c>
      <c r="W115" s="439">
        <v>54482</v>
      </c>
      <c r="Z115" s="897">
        <v>50742</v>
      </c>
      <c r="AA115" s="897"/>
      <c r="AB115" s="897"/>
    </row>
    <row r="116" spans="1:28" x14ac:dyDescent="0.2">
      <c r="A116" s="535">
        <v>1</v>
      </c>
      <c r="B116" s="374" t="s">
        <v>1068</v>
      </c>
      <c r="C116" s="374" t="s">
        <v>1545</v>
      </c>
      <c r="D116" s="435">
        <v>2310870</v>
      </c>
      <c r="E116" s="435">
        <v>813202</v>
      </c>
      <c r="F116" s="374" t="s">
        <v>1524</v>
      </c>
      <c r="G116" s="374" t="s">
        <v>981</v>
      </c>
      <c r="H116" s="466">
        <v>0.6</v>
      </c>
      <c r="I116" s="439">
        <v>37905</v>
      </c>
      <c r="J116" s="466">
        <v>0.6</v>
      </c>
      <c r="K116" s="439">
        <v>37905</v>
      </c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66">
        <v>0.6</v>
      </c>
      <c r="W116" s="439">
        <v>37905</v>
      </c>
      <c r="Z116" s="897">
        <v>51383</v>
      </c>
      <c r="AA116" s="897"/>
      <c r="AB116" s="897"/>
    </row>
    <row r="117" spans="1:28" x14ac:dyDescent="0.2">
      <c r="A117" s="535">
        <v>1</v>
      </c>
      <c r="B117" s="374" t="s">
        <v>1438</v>
      </c>
      <c r="C117" s="374" t="s">
        <v>1546</v>
      </c>
      <c r="D117" s="435">
        <v>2815163</v>
      </c>
      <c r="E117" s="435">
        <v>813202</v>
      </c>
      <c r="F117" s="374" t="s">
        <v>1524</v>
      </c>
      <c r="G117" s="374" t="s">
        <v>981</v>
      </c>
      <c r="H117" s="466">
        <v>0.6</v>
      </c>
      <c r="I117" s="439">
        <v>55044</v>
      </c>
      <c r="J117" s="466">
        <v>0.6</v>
      </c>
      <c r="K117" s="439">
        <v>55044</v>
      </c>
      <c r="L117" s="439"/>
      <c r="M117" s="439"/>
      <c r="N117" s="439"/>
      <c r="O117" s="439"/>
      <c r="P117" s="439"/>
      <c r="Q117" s="439"/>
      <c r="R117" s="439"/>
      <c r="S117" s="439"/>
      <c r="T117" s="439"/>
      <c r="U117" s="439"/>
      <c r="V117" s="466">
        <v>0.6</v>
      </c>
      <c r="W117" s="439">
        <v>55044</v>
      </c>
      <c r="Z117" s="897">
        <v>49759</v>
      </c>
      <c r="AA117" s="897"/>
      <c r="AB117" s="897"/>
    </row>
    <row r="118" spans="1:28" x14ac:dyDescent="0.2">
      <c r="A118" s="535">
        <v>1</v>
      </c>
      <c r="B118" s="374" t="s">
        <v>1547</v>
      </c>
      <c r="C118" s="374" t="s">
        <v>1548</v>
      </c>
      <c r="D118" s="435">
        <v>20579819</v>
      </c>
      <c r="E118" s="435">
        <v>813202</v>
      </c>
      <c r="F118" s="374" t="s">
        <v>1524</v>
      </c>
      <c r="G118" s="374" t="s">
        <v>981</v>
      </c>
      <c r="H118" s="466">
        <v>0.6</v>
      </c>
      <c r="I118" s="439">
        <v>55368</v>
      </c>
      <c r="J118" s="466">
        <v>0.6</v>
      </c>
      <c r="K118" s="439">
        <v>55368</v>
      </c>
      <c r="L118" s="439"/>
      <c r="M118" s="439"/>
      <c r="N118" s="439"/>
      <c r="O118" s="439"/>
      <c r="P118" s="439"/>
      <c r="Q118" s="439"/>
      <c r="R118" s="439"/>
      <c r="S118" s="439"/>
      <c r="T118" s="439"/>
      <c r="U118" s="439"/>
      <c r="V118" s="466">
        <v>0.6</v>
      </c>
      <c r="W118" s="439">
        <v>55368</v>
      </c>
      <c r="Z118" s="897"/>
      <c r="AA118" s="897"/>
      <c r="AB118" s="897"/>
    </row>
    <row r="119" spans="1:28" x14ac:dyDescent="0.2">
      <c r="A119" s="535">
        <v>1</v>
      </c>
      <c r="B119" s="374" t="s">
        <v>1392</v>
      </c>
      <c r="C119" s="374" t="s">
        <v>1549</v>
      </c>
      <c r="D119" s="435">
        <v>5625569</v>
      </c>
      <c r="E119" s="435">
        <v>813202</v>
      </c>
      <c r="F119" s="374" t="s">
        <v>1524</v>
      </c>
      <c r="G119" s="995" t="s">
        <v>981</v>
      </c>
      <c r="H119" s="997"/>
      <c r="I119" s="998">
        <v>53729</v>
      </c>
      <c r="J119" s="997"/>
      <c r="K119" s="998">
        <v>53729</v>
      </c>
      <c r="L119" s="998"/>
      <c r="M119" s="998"/>
      <c r="N119" s="998"/>
      <c r="O119" s="998"/>
      <c r="P119" s="998"/>
      <c r="Q119" s="998"/>
      <c r="R119" s="998"/>
      <c r="S119" s="998"/>
      <c r="T119" s="998"/>
      <c r="U119" s="998"/>
      <c r="V119" s="997"/>
      <c r="W119" s="439">
        <v>53729</v>
      </c>
      <c r="Z119" s="897"/>
      <c r="AA119" s="897"/>
      <c r="AB119" s="897"/>
    </row>
    <row r="120" spans="1:28" s="912" customFormat="1" x14ac:dyDescent="0.2">
      <c r="A120" s="540" t="s">
        <v>1550</v>
      </c>
      <c r="B120" s="484"/>
      <c r="C120" s="484"/>
      <c r="D120" s="485"/>
      <c r="E120" s="485"/>
      <c r="F120" s="484"/>
      <c r="G120" s="484"/>
      <c r="H120" s="486">
        <f>SUM(H101:H119)</f>
        <v>10.070588235294114</v>
      </c>
      <c r="I120" s="487">
        <f>SUM(I101:I119)</f>
        <v>915011</v>
      </c>
      <c r="J120" s="932">
        <f t="shared" ref="J120:W120" si="10">SUM(J101:J119)</f>
        <v>10.070588235294114</v>
      </c>
      <c r="K120" s="487">
        <f t="shared" si="10"/>
        <v>915011</v>
      </c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932">
        <f t="shared" si="10"/>
        <v>10.070588235294114</v>
      </c>
      <c r="W120" s="487">
        <f t="shared" si="10"/>
        <v>915011</v>
      </c>
      <c r="Z120" s="897">
        <v>71436</v>
      </c>
      <c r="AA120" s="897"/>
      <c r="AB120" s="897"/>
    </row>
    <row r="121" spans="1:28" s="912" customFormat="1" x14ac:dyDescent="0.2">
      <c r="A121" s="534">
        <v>1</v>
      </c>
      <c r="B121" s="441" t="s">
        <v>1074</v>
      </c>
      <c r="C121" s="441" t="s">
        <v>1075</v>
      </c>
      <c r="D121" s="442">
        <v>5517367</v>
      </c>
      <c r="E121" s="442">
        <v>813204</v>
      </c>
      <c r="F121" s="441" t="s">
        <v>1551</v>
      </c>
      <c r="G121" s="441" t="s">
        <v>1076</v>
      </c>
      <c r="H121" s="468">
        <v>0.6</v>
      </c>
      <c r="I121" s="439">
        <v>77744</v>
      </c>
      <c r="J121" s="468">
        <v>0.6</v>
      </c>
      <c r="K121" s="439">
        <v>78000</v>
      </c>
      <c r="L121" s="465"/>
      <c r="M121" s="465"/>
      <c r="N121" s="465"/>
      <c r="O121" s="465"/>
      <c r="P121" s="465"/>
      <c r="Q121" s="465"/>
      <c r="R121" s="465"/>
      <c r="S121" s="465"/>
      <c r="T121" s="465"/>
      <c r="U121" s="465"/>
      <c r="V121" s="468">
        <v>0.6</v>
      </c>
      <c r="W121" s="439">
        <v>78000</v>
      </c>
      <c r="Z121" s="897"/>
      <c r="AA121" s="897"/>
      <c r="AB121" s="897"/>
    </row>
    <row r="122" spans="1:28" s="912" customFormat="1" x14ac:dyDescent="0.2">
      <c r="A122" s="540" t="s">
        <v>1552</v>
      </c>
      <c r="B122" s="484"/>
      <c r="C122" s="484"/>
      <c r="D122" s="485"/>
      <c r="E122" s="485"/>
      <c r="F122" s="484"/>
      <c r="G122" s="484"/>
      <c r="H122" s="486">
        <v>0.6</v>
      </c>
      <c r="I122" s="487">
        <f>SUM(I121)</f>
        <v>77744</v>
      </c>
      <c r="J122" s="931">
        <v>0.6</v>
      </c>
      <c r="K122" s="487">
        <f>SUM(K121)</f>
        <v>78000</v>
      </c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931">
        <v>0.6</v>
      </c>
      <c r="W122" s="487">
        <f>SUM(W121)</f>
        <v>78000</v>
      </c>
      <c r="Z122" s="897">
        <f>1644+24250+5563</f>
        <v>31457</v>
      </c>
      <c r="AA122" s="897"/>
      <c r="AB122" s="897"/>
    </row>
    <row r="123" spans="1:28" ht="13.5" customHeight="1" x14ac:dyDescent="0.2">
      <c r="A123" s="994">
        <v>1</v>
      </c>
      <c r="B123" s="995" t="s">
        <v>967</v>
      </c>
      <c r="C123" s="995" t="s">
        <v>940</v>
      </c>
      <c r="D123" s="996">
        <v>30287672</v>
      </c>
      <c r="E123" s="996">
        <v>813300</v>
      </c>
      <c r="F123" s="995" t="s">
        <v>1553</v>
      </c>
      <c r="G123" s="995" t="s">
        <v>1555</v>
      </c>
      <c r="H123" s="997">
        <v>0.8</v>
      </c>
      <c r="I123" s="998">
        <v>28166</v>
      </c>
      <c r="J123" s="997">
        <v>0.8</v>
      </c>
      <c r="K123" s="998">
        <v>29000</v>
      </c>
      <c r="L123" s="998"/>
      <c r="M123" s="998"/>
      <c r="N123" s="998"/>
      <c r="O123" s="998"/>
      <c r="P123" s="998"/>
      <c r="Q123" s="998"/>
      <c r="R123" s="998"/>
      <c r="S123" s="998"/>
      <c r="T123" s="998"/>
      <c r="U123" s="998"/>
      <c r="V123" s="997">
        <v>0.8</v>
      </c>
      <c r="W123" s="998">
        <v>29000</v>
      </c>
      <c r="Z123" s="897">
        <v>61406</v>
      </c>
      <c r="AA123" s="897"/>
      <c r="AB123" s="897"/>
    </row>
    <row r="124" spans="1:28" x14ac:dyDescent="0.2">
      <c r="A124" s="994">
        <v>1</v>
      </c>
      <c r="B124" s="995" t="s">
        <v>1554</v>
      </c>
      <c r="C124" s="995" t="s">
        <v>1522</v>
      </c>
      <c r="D124" s="996">
        <v>2815420</v>
      </c>
      <c r="E124" s="996">
        <v>813300</v>
      </c>
      <c r="F124" s="995" t="s">
        <v>1553</v>
      </c>
      <c r="G124" s="995" t="s">
        <v>1555</v>
      </c>
      <c r="H124" s="997">
        <v>0.8</v>
      </c>
      <c r="I124" s="998">
        <v>82674</v>
      </c>
      <c r="J124" s="997">
        <v>0.8</v>
      </c>
      <c r="K124" s="998">
        <v>83000</v>
      </c>
      <c r="L124" s="998"/>
      <c r="M124" s="998"/>
      <c r="N124" s="998"/>
      <c r="O124" s="998"/>
      <c r="P124" s="998"/>
      <c r="Q124" s="998"/>
      <c r="R124" s="998"/>
      <c r="S124" s="998"/>
      <c r="T124" s="998"/>
      <c r="U124" s="998"/>
      <c r="V124" s="997">
        <v>0.8</v>
      </c>
      <c r="W124" s="998">
        <v>83000</v>
      </c>
      <c r="Z124" s="897">
        <v>36047</v>
      </c>
      <c r="AA124" s="897"/>
      <c r="AB124" s="897"/>
    </row>
    <row r="125" spans="1:28" x14ac:dyDescent="0.2">
      <c r="A125" s="994">
        <v>1</v>
      </c>
      <c r="B125" s="995" t="s">
        <v>1556</v>
      </c>
      <c r="C125" s="995" t="s">
        <v>1557</v>
      </c>
      <c r="D125" s="996">
        <v>3047586</v>
      </c>
      <c r="E125" s="996">
        <v>813300</v>
      </c>
      <c r="F125" s="995" t="s">
        <v>1553</v>
      </c>
      <c r="G125" s="995" t="s">
        <v>1559</v>
      </c>
      <c r="H125" s="997">
        <v>1</v>
      </c>
      <c r="I125" s="998">
        <v>66263</v>
      </c>
      <c r="J125" s="997">
        <v>0</v>
      </c>
      <c r="K125" s="998">
        <v>67000</v>
      </c>
      <c r="L125" s="998"/>
      <c r="M125" s="998"/>
      <c r="N125" s="998"/>
      <c r="O125" s="998"/>
      <c r="P125" s="998"/>
      <c r="Q125" s="998"/>
      <c r="R125" s="998"/>
      <c r="S125" s="998"/>
      <c r="T125" s="998"/>
      <c r="U125" s="998"/>
      <c r="V125" s="997">
        <v>0</v>
      </c>
      <c r="W125" s="998">
        <v>67000</v>
      </c>
      <c r="Z125" s="897">
        <f>47670+16595+777</f>
        <v>65042</v>
      </c>
      <c r="AA125" s="897"/>
      <c r="AB125" s="897"/>
    </row>
    <row r="126" spans="1:28" x14ac:dyDescent="0.2">
      <c r="A126" s="994">
        <v>1</v>
      </c>
      <c r="B126" s="995" t="s">
        <v>975</v>
      </c>
      <c r="C126" s="995" t="s">
        <v>1558</v>
      </c>
      <c r="D126" s="996">
        <v>3408418</v>
      </c>
      <c r="E126" s="996">
        <v>813300</v>
      </c>
      <c r="F126" s="995" t="s">
        <v>1553</v>
      </c>
      <c r="G126" s="995" t="s">
        <v>1560</v>
      </c>
      <c r="H126" s="997">
        <v>0.7</v>
      </c>
      <c r="I126" s="998">
        <v>40102</v>
      </c>
      <c r="J126" s="997">
        <v>0.7</v>
      </c>
      <c r="K126" s="998">
        <v>41000</v>
      </c>
      <c r="L126" s="998"/>
      <c r="M126" s="998"/>
      <c r="N126" s="998"/>
      <c r="O126" s="998"/>
      <c r="P126" s="998"/>
      <c r="Q126" s="998"/>
      <c r="R126" s="998"/>
      <c r="S126" s="998"/>
      <c r="T126" s="998"/>
      <c r="U126" s="998"/>
      <c r="V126" s="997">
        <v>0.7</v>
      </c>
      <c r="W126" s="998">
        <v>41000</v>
      </c>
      <c r="Z126" s="897">
        <f>72324+875</f>
        <v>73199</v>
      </c>
      <c r="AA126" s="897"/>
      <c r="AB126" s="897"/>
    </row>
    <row r="127" spans="1:28" x14ac:dyDescent="0.2">
      <c r="A127" s="994">
        <v>1</v>
      </c>
      <c r="B127" s="995" t="s">
        <v>1087</v>
      </c>
      <c r="C127" s="995" t="s">
        <v>979</v>
      </c>
      <c r="D127" s="996">
        <v>2318947</v>
      </c>
      <c r="E127" s="996">
        <v>813300</v>
      </c>
      <c r="F127" s="995" t="s">
        <v>1553</v>
      </c>
      <c r="G127" s="995" t="s">
        <v>1560</v>
      </c>
      <c r="H127" s="997">
        <v>0.6</v>
      </c>
      <c r="I127" s="998">
        <v>47669</v>
      </c>
      <c r="J127" s="997">
        <v>0.6</v>
      </c>
      <c r="K127" s="998">
        <v>48000</v>
      </c>
      <c r="L127" s="998"/>
      <c r="M127" s="998"/>
      <c r="N127" s="998"/>
      <c r="O127" s="998"/>
      <c r="P127" s="998"/>
      <c r="Q127" s="998"/>
      <c r="R127" s="998"/>
      <c r="S127" s="998"/>
      <c r="T127" s="998"/>
      <c r="U127" s="998"/>
      <c r="V127" s="997">
        <v>0.6</v>
      </c>
      <c r="W127" s="998">
        <v>48000</v>
      </c>
      <c r="Z127" s="897">
        <f>38098+466</f>
        <v>38564</v>
      </c>
      <c r="AA127" s="897"/>
      <c r="AB127" s="897"/>
    </row>
    <row r="128" spans="1:28" ht="15" customHeight="1" x14ac:dyDescent="0.2">
      <c r="A128" s="994">
        <v>1</v>
      </c>
      <c r="B128" s="995" t="s">
        <v>924</v>
      </c>
      <c r="C128" s="995" t="s">
        <v>1431</v>
      </c>
      <c r="D128" s="996">
        <v>2643576</v>
      </c>
      <c r="E128" s="996">
        <v>813300</v>
      </c>
      <c r="F128" s="995" t="s">
        <v>1553</v>
      </c>
      <c r="G128" s="995" t="s">
        <v>1560</v>
      </c>
      <c r="H128" s="997">
        <v>0.42</v>
      </c>
      <c r="I128" s="998">
        <v>78745</v>
      </c>
      <c r="J128" s="997">
        <v>0.42</v>
      </c>
      <c r="K128" s="998">
        <v>79000</v>
      </c>
      <c r="L128" s="998"/>
      <c r="M128" s="998"/>
      <c r="N128" s="998"/>
      <c r="O128" s="998"/>
      <c r="P128" s="998"/>
      <c r="Q128" s="998"/>
      <c r="R128" s="998"/>
      <c r="S128" s="998"/>
      <c r="T128" s="998"/>
      <c r="U128" s="998"/>
      <c r="V128" s="997">
        <v>0.42</v>
      </c>
      <c r="W128" s="998">
        <v>79000</v>
      </c>
      <c r="Z128" s="897">
        <v>72747</v>
      </c>
      <c r="AA128" s="897"/>
      <c r="AB128" s="897"/>
    </row>
    <row r="129" spans="1:28" ht="15" customHeight="1" x14ac:dyDescent="0.2">
      <c r="A129" s="994">
        <v>1</v>
      </c>
      <c r="B129" s="995" t="s">
        <v>1087</v>
      </c>
      <c r="C129" s="995" t="s">
        <v>1561</v>
      </c>
      <c r="D129" s="996">
        <v>2820879</v>
      </c>
      <c r="E129" s="996">
        <v>813300</v>
      </c>
      <c r="F129" s="995" t="s">
        <v>1553</v>
      </c>
      <c r="G129" s="995" t="s">
        <v>1563</v>
      </c>
      <c r="H129" s="997">
        <v>0.83</v>
      </c>
      <c r="I129" s="998">
        <v>41598</v>
      </c>
      <c r="J129" s="997">
        <v>0.83</v>
      </c>
      <c r="K129" s="998">
        <v>42000</v>
      </c>
      <c r="L129" s="998"/>
      <c r="M129" s="998"/>
      <c r="N129" s="998"/>
      <c r="O129" s="998"/>
      <c r="P129" s="998"/>
      <c r="Q129" s="998"/>
      <c r="R129" s="998"/>
      <c r="S129" s="998"/>
      <c r="T129" s="998"/>
      <c r="U129" s="998"/>
      <c r="V129" s="997">
        <v>0.83</v>
      </c>
      <c r="W129" s="998">
        <v>42000</v>
      </c>
      <c r="Z129" s="897">
        <v>8153</v>
      </c>
      <c r="AA129" s="897"/>
      <c r="AB129" s="897"/>
    </row>
    <row r="130" spans="1:28" ht="15" customHeight="1" x14ac:dyDescent="0.2">
      <c r="A130" s="994">
        <v>1</v>
      </c>
      <c r="B130" s="995" t="s">
        <v>955</v>
      </c>
      <c r="C130" s="995" t="s">
        <v>1460</v>
      </c>
      <c r="D130" s="1003">
        <v>5987470</v>
      </c>
      <c r="E130" s="996">
        <v>813300</v>
      </c>
      <c r="F130" s="995" t="s">
        <v>1553</v>
      </c>
      <c r="G130" s="995" t="s">
        <v>1563</v>
      </c>
      <c r="H130" s="997">
        <f>35/42.5</f>
        <v>0.82352941176470584</v>
      </c>
      <c r="I130" s="998">
        <v>78775</v>
      </c>
      <c r="J130" s="997">
        <v>0</v>
      </c>
      <c r="K130" s="998">
        <v>79000</v>
      </c>
      <c r="L130" s="998"/>
      <c r="M130" s="998"/>
      <c r="N130" s="998"/>
      <c r="O130" s="998"/>
      <c r="P130" s="998"/>
      <c r="Q130" s="998"/>
      <c r="R130" s="998"/>
      <c r="S130" s="998"/>
      <c r="T130" s="998"/>
      <c r="U130" s="998"/>
      <c r="V130" s="997">
        <v>0</v>
      </c>
      <c r="W130" s="998">
        <v>79000</v>
      </c>
      <c r="Z130" s="897">
        <v>26595</v>
      </c>
      <c r="AA130" s="897"/>
      <c r="AB130" s="897"/>
    </row>
    <row r="131" spans="1:28" ht="15" customHeight="1" x14ac:dyDescent="0.2">
      <c r="A131" s="994">
        <v>1</v>
      </c>
      <c r="B131" s="995" t="s">
        <v>1564</v>
      </c>
      <c r="C131" s="995" t="s">
        <v>1565</v>
      </c>
      <c r="D131" s="1003">
        <v>5944677</v>
      </c>
      <c r="E131" s="996">
        <v>813300</v>
      </c>
      <c r="F131" s="995" t="s">
        <v>1553</v>
      </c>
      <c r="G131" s="995" t="s">
        <v>1563</v>
      </c>
      <c r="H131" s="997">
        <f>34/42.5</f>
        <v>0.8</v>
      </c>
      <c r="I131" s="998">
        <v>14402</v>
      </c>
      <c r="J131" s="997">
        <v>0.75</v>
      </c>
      <c r="K131" s="998">
        <v>15000</v>
      </c>
      <c r="L131" s="998"/>
      <c r="M131" s="998"/>
      <c r="N131" s="998"/>
      <c r="O131" s="998"/>
      <c r="P131" s="998"/>
      <c r="Q131" s="998"/>
      <c r="R131" s="998"/>
      <c r="S131" s="998"/>
      <c r="T131" s="998"/>
      <c r="U131" s="998"/>
      <c r="V131" s="997">
        <v>0.75</v>
      </c>
      <c r="W131" s="998">
        <v>15000</v>
      </c>
      <c r="Z131" s="897">
        <v>10598</v>
      </c>
      <c r="AA131" s="897"/>
      <c r="AB131" s="897"/>
    </row>
    <row r="132" spans="1:28" ht="15" customHeight="1" x14ac:dyDescent="0.2">
      <c r="A132" s="994"/>
      <c r="B132" s="995" t="s">
        <v>1450</v>
      </c>
      <c r="C132" s="995" t="s">
        <v>1128</v>
      </c>
      <c r="D132" s="1003">
        <v>4093593</v>
      </c>
      <c r="E132" s="996">
        <v>813300</v>
      </c>
      <c r="F132" s="995" t="s">
        <v>1553</v>
      </c>
      <c r="G132" s="995" t="s">
        <v>1555</v>
      </c>
      <c r="H132" s="997">
        <f>30/42.5</f>
        <v>0.70588235294117652</v>
      </c>
      <c r="I132" s="998">
        <v>19018</v>
      </c>
      <c r="J132" s="997">
        <v>0.71</v>
      </c>
      <c r="K132" s="998">
        <v>20000</v>
      </c>
      <c r="L132" s="998"/>
      <c r="M132" s="998"/>
      <c r="N132" s="998"/>
      <c r="O132" s="998"/>
      <c r="P132" s="998"/>
      <c r="Q132" s="998"/>
      <c r="R132" s="998"/>
      <c r="S132" s="998"/>
      <c r="T132" s="998"/>
      <c r="U132" s="998"/>
      <c r="V132" s="997">
        <v>0.71</v>
      </c>
      <c r="W132" s="998">
        <v>20000</v>
      </c>
      <c r="Z132" s="897">
        <v>9689</v>
      </c>
      <c r="AA132" s="897"/>
      <c r="AB132" s="897"/>
    </row>
    <row r="133" spans="1:28" x14ac:dyDescent="0.2">
      <c r="A133" s="994">
        <v>1</v>
      </c>
      <c r="B133" s="995" t="s">
        <v>1438</v>
      </c>
      <c r="C133" s="995" t="s">
        <v>1461</v>
      </c>
      <c r="D133" s="1003">
        <v>2996822</v>
      </c>
      <c r="E133" s="996">
        <v>813300</v>
      </c>
      <c r="F133" s="995" t="s">
        <v>1553</v>
      </c>
      <c r="G133" s="995" t="s">
        <v>1555</v>
      </c>
      <c r="H133" s="997">
        <f>30/42.5</f>
        <v>0.70588235294117652</v>
      </c>
      <c r="I133" s="998">
        <v>12875</v>
      </c>
      <c r="J133" s="997">
        <v>0.71</v>
      </c>
      <c r="K133" s="998">
        <v>13000</v>
      </c>
      <c r="L133" s="998"/>
      <c r="M133" s="998"/>
      <c r="N133" s="998"/>
      <c r="O133" s="998"/>
      <c r="P133" s="998"/>
      <c r="Q133" s="998"/>
      <c r="R133" s="998"/>
      <c r="S133" s="998"/>
      <c r="T133" s="998"/>
      <c r="U133" s="998"/>
      <c r="V133" s="997">
        <v>0.71</v>
      </c>
      <c r="W133" s="998">
        <v>13000</v>
      </c>
      <c r="Z133" s="897">
        <v>28538</v>
      </c>
      <c r="AA133" s="897"/>
      <c r="AB133" s="897"/>
    </row>
    <row r="134" spans="1:28" s="912" customFormat="1" x14ac:dyDescent="0.2">
      <c r="A134" s="994">
        <v>1</v>
      </c>
      <c r="B134" s="995" t="s">
        <v>990</v>
      </c>
      <c r="C134" s="995" t="s">
        <v>1467</v>
      </c>
      <c r="D134" s="996">
        <v>40084436</v>
      </c>
      <c r="E134" s="996">
        <v>813300</v>
      </c>
      <c r="F134" s="995" t="s">
        <v>1553</v>
      </c>
      <c r="G134" s="995" t="s">
        <v>1563</v>
      </c>
      <c r="H134" s="997">
        <f>22/42.5</f>
        <v>0.51764705882352946</v>
      </c>
      <c r="I134" s="998">
        <v>14716</v>
      </c>
      <c r="J134" s="997" t="s">
        <v>942</v>
      </c>
      <c r="K134" s="998">
        <v>15000</v>
      </c>
      <c r="L134" s="998"/>
      <c r="M134" s="998"/>
      <c r="N134" s="998"/>
      <c r="O134" s="998"/>
      <c r="P134" s="998"/>
      <c r="Q134" s="998"/>
      <c r="R134" s="998"/>
      <c r="S134" s="998"/>
      <c r="T134" s="998"/>
      <c r="U134" s="998"/>
      <c r="V134" s="997" t="s">
        <v>942</v>
      </c>
      <c r="W134" s="998">
        <v>15000</v>
      </c>
      <c r="Z134" s="897"/>
      <c r="AA134" s="897"/>
      <c r="AB134" s="897"/>
    </row>
    <row r="135" spans="1:28" s="912" customFormat="1" x14ac:dyDescent="0.2">
      <c r="A135" s="994">
        <v>1</v>
      </c>
      <c r="B135" s="995" t="s">
        <v>1566</v>
      </c>
      <c r="C135" s="995" t="s">
        <v>1567</v>
      </c>
      <c r="D135" s="1004">
        <v>31795457</v>
      </c>
      <c r="E135" s="1004">
        <v>813300</v>
      </c>
      <c r="F135" s="995" t="s">
        <v>1553</v>
      </c>
      <c r="G135" s="1005"/>
      <c r="H135" s="1006"/>
      <c r="I135" s="998">
        <v>32265</v>
      </c>
      <c r="J135" s="998"/>
      <c r="K135" s="998">
        <v>33000</v>
      </c>
      <c r="L135" s="998"/>
      <c r="M135" s="998"/>
      <c r="N135" s="998"/>
      <c r="O135" s="998"/>
      <c r="P135" s="998"/>
      <c r="Q135" s="998"/>
      <c r="R135" s="998"/>
      <c r="S135" s="998"/>
      <c r="T135" s="998"/>
      <c r="U135" s="998"/>
      <c r="V135" s="998"/>
      <c r="W135" s="998">
        <v>33000</v>
      </c>
      <c r="Z135" s="897">
        <f>32136+15814</f>
        <v>47950</v>
      </c>
      <c r="AA135" s="897"/>
      <c r="AB135" s="897"/>
    </row>
    <row r="136" spans="1:28" x14ac:dyDescent="0.2">
      <c r="A136" s="994">
        <v>1</v>
      </c>
      <c r="B136" s="995" t="s">
        <v>944</v>
      </c>
      <c r="C136" s="995" t="s">
        <v>1562</v>
      </c>
      <c r="D136" s="996">
        <v>3336177</v>
      </c>
      <c r="E136" s="996">
        <v>813310</v>
      </c>
      <c r="F136" s="995" t="s">
        <v>1553</v>
      </c>
      <c r="G136" s="995" t="s">
        <v>1492</v>
      </c>
      <c r="H136" s="997">
        <v>0</v>
      </c>
      <c r="I136" s="998">
        <v>32136</v>
      </c>
      <c r="J136" s="997" t="s">
        <v>942</v>
      </c>
      <c r="K136" s="998">
        <v>33000</v>
      </c>
      <c r="L136" s="998"/>
      <c r="M136" s="998"/>
      <c r="N136" s="998"/>
      <c r="O136" s="998"/>
      <c r="P136" s="998"/>
      <c r="Q136" s="998"/>
      <c r="R136" s="998"/>
      <c r="S136" s="998"/>
      <c r="T136" s="998"/>
      <c r="U136" s="998"/>
      <c r="V136" s="997" t="s">
        <v>942</v>
      </c>
      <c r="W136" s="998">
        <v>33000</v>
      </c>
      <c r="Z136" s="897"/>
      <c r="AA136" s="897"/>
      <c r="AB136" s="897"/>
    </row>
    <row r="137" spans="1:28" s="912" customFormat="1" x14ac:dyDescent="0.2">
      <c r="A137" s="540" t="s">
        <v>1568</v>
      </c>
      <c r="B137" s="484"/>
      <c r="C137" s="484"/>
      <c r="D137" s="485"/>
      <c r="E137" s="485"/>
      <c r="F137" s="484"/>
      <c r="G137" s="484"/>
      <c r="H137" s="486"/>
      <c r="I137" s="487">
        <f>SUM(I123:I136)</f>
        <v>589404</v>
      </c>
      <c r="J137" s="932">
        <f>SUM(J123:J136)</f>
        <v>6.3199999999999994</v>
      </c>
      <c r="K137" s="487">
        <f>SUM(K123:K136)</f>
        <v>597000</v>
      </c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932">
        <f>SUM(V123:V136)</f>
        <v>6.3199999999999994</v>
      </c>
      <c r="W137" s="487">
        <f>SUM(W123:W136)</f>
        <v>597000</v>
      </c>
      <c r="Z137" s="897">
        <v>38201</v>
      </c>
      <c r="AA137" s="897"/>
      <c r="AB137" s="897"/>
    </row>
    <row r="138" spans="1:28" x14ac:dyDescent="0.2">
      <c r="A138" s="535">
        <v>1</v>
      </c>
      <c r="B138" s="374" t="s">
        <v>924</v>
      </c>
      <c r="C138" s="374" t="s">
        <v>1569</v>
      </c>
      <c r="D138" s="435">
        <v>2622839</v>
      </c>
      <c r="E138" s="435">
        <v>813310</v>
      </c>
      <c r="F138" s="374" t="s">
        <v>1553</v>
      </c>
      <c r="G138" s="374" t="s">
        <v>1492</v>
      </c>
      <c r="H138" s="466" t="s">
        <v>942</v>
      </c>
      <c r="I138" s="439">
        <v>39640</v>
      </c>
      <c r="J138" s="466" t="s">
        <v>942</v>
      </c>
      <c r="K138" s="439">
        <v>39640</v>
      </c>
      <c r="L138" s="439"/>
      <c r="M138" s="439"/>
      <c r="N138" s="439"/>
      <c r="O138" s="439"/>
      <c r="P138" s="439"/>
      <c r="Q138" s="439"/>
      <c r="R138" s="439"/>
      <c r="S138" s="439"/>
      <c r="T138" s="439"/>
      <c r="U138" s="439"/>
      <c r="V138" s="466" t="s">
        <v>942</v>
      </c>
      <c r="W138" s="439">
        <v>39640</v>
      </c>
      <c r="Z138" s="897">
        <v>73810</v>
      </c>
      <c r="AA138" s="897"/>
      <c r="AB138" s="897"/>
    </row>
    <row r="139" spans="1:28" x14ac:dyDescent="0.2">
      <c r="A139" s="535">
        <v>1</v>
      </c>
      <c r="B139" s="374" t="s">
        <v>1570</v>
      </c>
      <c r="C139" s="374" t="s">
        <v>1535</v>
      </c>
      <c r="D139" s="435">
        <v>2643531</v>
      </c>
      <c r="E139" s="435">
        <v>813310</v>
      </c>
      <c r="F139" s="374" t="s">
        <v>1553</v>
      </c>
      <c r="G139" s="374" t="s">
        <v>1492</v>
      </c>
      <c r="H139" s="466">
        <v>0</v>
      </c>
      <c r="I139" s="439">
        <f>2445+5563</f>
        <v>8008</v>
      </c>
      <c r="J139" s="466">
        <v>0.8</v>
      </c>
      <c r="K139" s="439">
        <v>10000</v>
      </c>
      <c r="L139" s="439"/>
      <c r="M139" s="439"/>
      <c r="N139" s="439"/>
      <c r="O139" s="439"/>
      <c r="P139" s="439"/>
      <c r="Q139" s="439"/>
      <c r="R139" s="439"/>
      <c r="S139" s="439"/>
      <c r="T139" s="439"/>
      <c r="U139" s="439"/>
      <c r="V139" s="466">
        <v>0.8</v>
      </c>
      <c r="W139" s="439">
        <v>10000</v>
      </c>
      <c r="Z139" s="897">
        <v>63645</v>
      </c>
      <c r="AA139" s="897"/>
      <c r="AB139" s="897"/>
    </row>
    <row r="140" spans="1:28" x14ac:dyDescent="0.2">
      <c r="A140" s="535">
        <v>1</v>
      </c>
      <c r="B140" s="374" t="s">
        <v>944</v>
      </c>
      <c r="C140" s="374" t="s">
        <v>1571</v>
      </c>
      <c r="D140" s="435">
        <v>5944505</v>
      </c>
      <c r="E140" s="435">
        <v>813310</v>
      </c>
      <c r="F140" s="374" t="s">
        <v>1553</v>
      </c>
      <c r="G140" s="374" t="s">
        <v>1492</v>
      </c>
      <c r="H140" s="466">
        <v>1</v>
      </c>
      <c r="I140" s="439">
        <v>80142</v>
      </c>
      <c r="J140" s="466">
        <v>1</v>
      </c>
      <c r="K140" s="439">
        <v>80142</v>
      </c>
      <c r="L140" s="439"/>
      <c r="M140" s="439"/>
      <c r="N140" s="439"/>
      <c r="O140" s="439"/>
      <c r="P140" s="439"/>
      <c r="Q140" s="439"/>
      <c r="R140" s="439"/>
      <c r="S140" s="439"/>
      <c r="T140" s="439"/>
      <c r="U140" s="439"/>
      <c r="V140" s="466">
        <v>1</v>
      </c>
      <c r="W140" s="439">
        <v>80142</v>
      </c>
      <c r="Z140" s="897">
        <v>15180</v>
      </c>
      <c r="AA140" s="897"/>
      <c r="AB140" s="897"/>
    </row>
    <row r="141" spans="1:28" x14ac:dyDescent="0.2">
      <c r="A141" s="535">
        <v>1</v>
      </c>
      <c r="B141" s="374" t="s">
        <v>1572</v>
      </c>
      <c r="C141" s="374" t="s">
        <v>1573</v>
      </c>
      <c r="D141" s="435">
        <v>3480322</v>
      </c>
      <c r="E141" s="435">
        <v>813310</v>
      </c>
      <c r="F141" s="374" t="s">
        <v>1553</v>
      </c>
      <c r="G141" s="374" t="s">
        <v>1492</v>
      </c>
      <c r="H141" s="466">
        <v>1</v>
      </c>
      <c r="I141" s="439">
        <v>70110</v>
      </c>
      <c r="J141" s="466">
        <v>1</v>
      </c>
      <c r="K141" s="439">
        <v>71000</v>
      </c>
      <c r="L141" s="439"/>
      <c r="M141" s="439"/>
      <c r="N141" s="439"/>
      <c r="O141" s="439"/>
      <c r="P141" s="439"/>
      <c r="Q141" s="439"/>
      <c r="R141" s="439"/>
      <c r="S141" s="439"/>
      <c r="T141" s="439"/>
      <c r="U141" s="439"/>
      <c r="V141" s="466">
        <v>1</v>
      </c>
      <c r="W141" s="439">
        <v>71000</v>
      </c>
      <c r="Z141" s="897">
        <v>12342</v>
      </c>
      <c r="AA141" s="897"/>
      <c r="AB141" s="897"/>
    </row>
    <row r="142" spans="1:28" x14ac:dyDescent="0.2">
      <c r="A142" s="535">
        <v>1</v>
      </c>
      <c r="B142" s="374" t="s">
        <v>955</v>
      </c>
      <c r="C142" s="374" t="s">
        <v>1402</v>
      </c>
      <c r="D142" s="440">
        <v>2587900</v>
      </c>
      <c r="E142" s="435">
        <v>813310</v>
      </c>
      <c r="F142" s="374" t="s">
        <v>1553</v>
      </c>
      <c r="G142" s="374" t="s">
        <v>1492</v>
      </c>
      <c r="H142" s="466">
        <f>36/42.5</f>
        <v>0.84705882352941175</v>
      </c>
      <c r="I142" s="439">
        <v>21612</v>
      </c>
      <c r="J142" s="466">
        <v>0.85</v>
      </c>
      <c r="K142" s="439">
        <v>22000</v>
      </c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66">
        <v>0.85</v>
      </c>
      <c r="W142" s="439">
        <v>22000</v>
      </c>
      <c r="Z142" s="897">
        <v>11583</v>
      </c>
      <c r="AA142" s="897"/>
      <c r="AB142" s="897"/>
    </row>
    <row r="143" spans="1:28" x14ac:dyDescent="0.2">
      <c r="A143" s="535">
        <v>1</v>
      </c>
      <c r="B143" s="374" t="s">
        <v>924</v>
      </c>
      <c r="C143" s="374" t="s">
        <v>1578</v>
      </c>
      <c r="D143" s="435">
        <v>36935195</v>
      </c>
      <c r="E143" s="435">
        <v>813310</v>
      </c>
      <c r="F143" s="374" t="s">
        <v>1553</v>
      </c>
      <c r="G143" s="374" t="s">
        <v>1492</v>
      </c>
      <c r="H143" s="466">
        <f>16/42.5</f>
        <v>0.37647058823529411</v>
      </c>
      <c r="I143" s="439">
        <v>16935</v>
      </c>
      <c r="J143" s="466">
        <v>0.38</v>
      </c>
      <c r="K143" s="439">
        <v>19000</v>
      </c>
      <c r="L143" s="439"/>
      <c r="M143" s="439"/>
      <c r="N143" s="439"/>
      <c r="O143" s="439"/>
      <c r="P143" s="439"/>
      <c r="Q143" s="439"/>
      <c r="R143" s="439"/>
      <c r="S143" s="439"/>
      <c r="T143" s="439"/>
      <c r="U143" s="439"/>
      <c r="V143" s="466">
        <v>0.38</v>
      </c>
      <c r="W143" s="439">
        <v>19000</v>
      </c>
      <c r="Z143" s="897">
        <f>8038+19244</f>
        <v>27282</v>
      </c>
      <c r="AA143" s="897"/>
      <c r="AB143" s="897"/>
    </row>
    <row r="144" spans="1:28" s="917" customFormat="1" x14ac:dyDescent="0.2">
      <c r="A144" s="535">
        <v>1</v>
      </c>
      <c r="B144" s="374" t="s">
        <v>1430</v>
      </c>
      <c r="C144" s="374" t="s">
        <v>1472</v>
      </c>
      <c r="D144" s="435">
        <v>30265944</v>
      </c>
      <c r="E144" s="435">
        <v>813310</v>
      </c>
      <c r="F144" s="374" t="s">
        <v>1553</v>
      </c>
      <c r="G144" s="374" t="s">
        <v>1492</v>
      </c>
      <c r="H144" s="466">
        <v>0.56000000000000005</v>
      </c>
      <c r="I144" s="439">
        <v>16135</v>
      </c>
      <c r="J144" s="466">
        <v>0.56000000000000005</v>
      </c>
      <c r="K144" s="439">
        <v>16500</v>
      </c>
      <c r="L144" s="439"/>
      <c r="M144" s="439"/>
      <c r="N144" s="439"/>
      <c r="O144" s="439"/>
      <c r="P144" s="439"/>
      <c r="Q144" s="439"/>
      <c r="R144" s="439"/>
      <c r="S144" s="439"/>
      <c r="T144" s="439"/>
      <c r="U144" s="439"/>
      <c r="V144" s="466">
        <v>0.56000000000000005</v>
      </c>
      <c r="W144" s="439">
        <v>16500</v>
      </c>
      <c r="Z144" s="918"/>
      <c r="AA144" s="897"/>
      <c r="AB144" s="897"/>
    </row>
    <row r="145" spans="1:28" ht="15.75" customHeight="1" x14ac:dyDescent="0.2">
      <c r="A145" s="535">
        <v>1</v>
      </c>
      <c r="B145" s="374" t="s">
        <v>1438</v>
      </c>
      <c r="C145" s="374" t="s">
        <v>1577</v>
      </c>
      <c r="D145" s="435">
        <v>31501922</v>
      </c>
      <c r="E145" s="435">
        <v>813310</v>
      </c>
      <c r="F145" s="374" t="s">
        <v>1553</v>
      </c>
      <c r="G145" s="374" t="s">
        <v>1492</v>
      </c>
      <c r="H145" s="1007"/>
      <c r="I145" s="998">
        <v>11138</v>
      </c>
      <c r="J145" s="1007"/>
      <c r="K145" s="998">
        <v>12000</v>
      </c>
      <c r="L145" s="998"/>
      <c r="M145" s="998"/>
      <c r="N145" s="998"/>
      <c r="O145" s="998"/>
      <c r="P145" s="998"/>
      <c r="Q145" s="998"/>
      <c r="R145" s="998"/>
      <c r="S145" s="998"/>
      <c r="T145" s="998"/>
      <c r="U145" s="998"/>
      <c r="V145" s="1007"/>
      <c r="W145" s="541">
        <v>12000</v>
      </c>
      <c r="Z145" s="897">
        <v>50472</v>
      </c>
      <c r="AA145" s="897"/>
      <c r="AB145" s="897"/>
    </row>
    <row r="146" spans="1:28" ht="15.75" customHeight="1" x14ac:dyDescent="0.2">
      <c r="A146" s="925">
        <v>1</v>
      </c>
      <c r="B146" s="374" t="s">
        <v>1087</v>
      </c>
      <c r="C146" s="374" t="s">
        <v>979</v>
      </c>
      <c r="D146" s="440">
        <v>2318947</v>
      </c>
      <c r="E146" s="435">
        <v>813310</v>
      </c>
      <c r="F146" s="374" t="s">
        <v>1553</v>
      </c>
      <c r="G146" s="374" t="s">
        <v>1492</v>
      </c>
      <c r="H146" s="1007"/>
      <c r="I146" s="998">
        <v>22320</v>
      </c>
      <c r="J146" s="1007"/>
      <c r="K146" s="998">
        <v>22320</v>
      </c>
      <c r="L146" s="998"/>
      <c r="M146" s="998"/>
      <c r="N146" s="998"/>
      <c r="O146" s="998"/>
      <c r="P146" s="998"/>
      <c r="Q146" s="998"/>
      <c r="R146" s="998"/>
      <c r="S146" s="998"/>
      <c r="T146" s="998"/>
      <c r="U146" s="998"/>
      <c r="V146" s="1007"/>
      <c r="W146" s="541">
        <v>22320</v>
      </c>
      <c r="Z146" s="897"/>
      <c r="AA146" s="897"/>
      <c r="AB146" s="897"/>
    </row>
    <row r="147" spans="1:28" ht="15.75" customHeight="1" x14ac:dyDescent="0.2">
      <c r="A147" s="925">
        <v>1</v>
      </c>
      <c r="B147" s="374" t="s">
        <v>944</v>
      </c>
      <c r="C147" s="374" t="s">
        <v>1562</v>
      </c>
      <c r="D147" s="440">
        <v>3336177</v>
      </c>
      <c r="E147" s="435">
        <v>813310</v>
      </c>
      <c r="F147" s="374" t="s">
        <v>1553</v>
      </c>
      <c r="G147" s="374" t="s">
        <v>1492</v>
      </c>
      <c r="H147" s="1007"/>
      <c r="I147" s="998">
        <v>22178</v>
      </c>
      <c r="J147" s="1007"/>
      <c r="K147" s="998">
        <v>22178</v>
      </c>
      <c r="L147" s="998"/>
      <c r="M147" s="998"/>
      <c r="N147" s="998"/>
      <c r="O147" s="998"/>
      <c r="P147" s="998"/>
      <c r="Q147" s="998"/>
      <c r="R147" s="998"/>
      <c r="S147" s="998"/>
      <c r="T147" s="998"/>
      <c r="U147" s="998"/>
      <c r="V147" s="1007"/>
      <c r="W147" s="541">
        <v>22178</v>
      </c>
      <c r="Z147" s="897"/>
      <c r="AA147" s="897"/>
      <c r="AB147" s="897"/>
    </row>
    <row r="148" spans="1:28" s="912" customFormat="1" x14ac:dyDescent="0.2">
      <c r="A148" s="540" t="s">
        <v>1711</v>
      </c>
      <c r="B148" s="484"/>
      <c r="C148" s="484"/>
      <c r="D148" s="485"/>
      <c r="E148" s="485"/>
      <c r="F148" s="484"/>
      <c r="G148" s="484"/>
      <c r="H148" s="486"/>
      <c r="I148" s="487">
        <f>SUM(I138:I147)</f>
        <v>308218</v>
      </c>
      <c r="J148" s="932">
        <f>SUM(J138:J147)</f>
        <v>4.59</v>
      </c>
      <c r="K148" s="487">
        <f>SUM(K138:K147)</f>
        <v>314780</v>
      </c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932">
        <f>SUM(V138:V147)</f>
        <v>4.59</v>
      </c>
      <c r="W148" s="487">
        <f>SUM(W138:W147)</f>
        <v>314780</v>
      </c>
      <c r="Z148" s="897">
        <v>3331</v>
      </c>
      <c r="AA148" s="897"/>
      <c r="AB148" s="897"/>
    </row>
    <row r="149" spans="1:28" x14ac:dyDescent="0.2">
      <c r="A149" s="535">
        <v>1</v>
      </c>
      <c r="B149" s="374" t="s">
        <v>1479</v>
      </c>
      <c r="C149" s="374" t="s">
        <v>1574</v>
      </c>
      <c r="D149" s="435">
        <v>31795462</v>
      </c>
      <c r="E149" s="435">
        <v>813320</v>
      </c>
      <c r="F149" s="374" t="s">
        <v>1553</v>
      </c>
      <c r="G149" s="374" t="s">
        <v>1575</v>
      </c>
      <c r="H149" s="466">
        <f>10/42.5</f>
        <v>0.23529411764705882</v>
      </c>
      <c r="I149" s="439">
        <v>56073</v>
      </c>
      <c r="J149" s="466">
        <f>10/42.5</f>
        <v>0.23529411764705882</v>
      </c>
      <c r="K149" s="439">
        <v>57000</v>
      </c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66">
        <f>10/42.5</f>
        <v>0.23529411764705882</v>
      </c>
      <c r="W149" s="541">
        <v>57000</v>
      </c>
      <c r="Z149" s="897">
        <v>26158</v>
      </c>
      <c r="AA149" s="897"/>
      <c r="AB149" s="897"/>
    </row>
    <row r="150" spans="1:28" x14ac:dyDescent="0.2">
      <c r="A150" s="994">
        <v>1</v>
      </c>
      <c r="B150" s="1008" t="s">
        <v>924</v>
      </c>
      <c r="C150" s="1008" t="s">
        <v>1576</v>
      </c>
      <c r="D150" s="1009">
        <v>31637738</v>
      </c>
      <c r="E150" s="1009">
        <v>813320</v>
      </c>
      <c r="F150" s="995" t="s">
        <v>1553</v>
      </c>
      <c r="G150" s="995" t="s">
        <v>1575</v>
      </c>
      <c r="H150" s="997">
        <f>30/42.5</f>
        <v>0.70588235294117652</v>
      </c>
      <c r="I150" s="1001">
        <v>3331</v>
      </c>
      <c r="J150" s="997">
        <v>0</v>
      </c>
      <c r="K150" s="1001">
        <v>0</v>
      </c>
      <c r="L150" s="1001"/>
      <c r="M150" s="1001"/>
      <c r="N150" s="1001"/>
      <c r="O150" s="1001"/>
      <c r="P150" s="1001"/>
      <c r="Q150" s="1001"/>
      <c r="R150" s="1001"/>
      <c r="S150" s="1001"/>
      <c r="T150" s="1001"/>
      <c r="U150" s="1001"/>
      <c r="V150" s="997">
        <v>0</v>
      </c>
      <c r="W150" s="998">
        <v>0</v>
      </c>
      <c r="Z150" s="897">
        <v>59195</v>
      </c>
      <c r="AA150" s="897"/>
      <c r="AB150" s="897"/>
    </row>
    <row r="151" spans="1:28" s="911" customFormat="1" x14ac:dyDescent="0.2">
      <c r="A151" s="994">
        <v>1</v>
      </c>
      <c r="B151" s="995" t="s">
        <v>924</v>
      </c>
      <c r="C151" s="995" t="s">
        <v>1578</v>
      </c>
      <c r="D151" s="996">
        <v>36935195</v>
      </c>
      <c r="E151" s="996">
        <v>813320</v>
      </c>
      <c r="F151" s="995" t="s">
        <v>1553</v>
      </c>
      <c r="G151" s="995" t="s">
        <v>1575</v>
      </c>
      <c r="H151" s="997"/>
      <c r="I151" s="998">
        <v>0</v>
      </c>
      <c r="J151" s="997">
        <v>0</v>
      </c>
      <c r="K151" s="998">
        <v>0</v>
      </c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7"/>
      <c r="W151" s="998">
        <v>0</v>
      </c>
      <c r="Z151" s="923">
        <v>23653</v>
      </c>
      <c r="AA151" s="923"/>
      <c r="AB151" s="923"/>
    </row>
    <row r="152" spans="1:28" x14ac:dyDescent="0.2">
      <c r="A152" s="924">
        <v>1</v>
      </c>
      <c r="B152" s="374" t="s">
        <v>958</v>
      </c>
      <c r="C152" s="374" t="s">
        <v>1579</v>
      </c>
      <c r="D152" s="435">
        <v>3590738</v>
      </c>
      <c r="E152" s="435">
        <v>813320</v>
      </c>
      <c r="F152" s="374" t="s">
        <v>1553</v>
      </c>
      <c r="G152" s="374" t="s">
        <v>1575</v>
      </c>
      <c r="H152" s="466">
        <f>40/42.5</f>
        <v>0.94117647058823528</v>
      </c>
      <c r="I152" s="439">
        <v>65382</v>
      </c>
      <c r="J152" s="466">
        <f>40/42.5</f>
        <v>0.94117647058823528</v>
      </c>
      <c r="K152" s="439">
        <v>65382</v>
      </c>
      <c r="L152" s="439"/>
      <c r="M152" s="439"/>
      <c r="N152" s="439"/>
      <c r="O152" s="439"/>
      <c r="P152" s="439"/>
      <c r="Q152" s="439"/>
      <c r="R152" s="439"/>
      <c r="S152" s="439"/>
      <c r="T152" s="439"/>
      <c r="U152" s="439"/>
      <c r="V152" s="466">
        <f>40/42.5</f>
        <v>0.94117647058823528</v>
      </c>
      <c r="W152" s="541">
        <v>65382</v>
      </c>
      <c r="Z152" s="897">
        <v>67258</v>
      </c>
      <c r="AA152" s="897"/>
      <c r="AB152" s="897"/>
    </row>
    <row r="153" spans="1:28" x14ac:dyDescent="0.2">
      <c r="A153" s="924">
        <v>1</v>
      </c>
      <c r="B153" s="374" t="s">
        <v>1068</v>
      </c>
      <c r="C153" s="374" t="s">
        <v>1580</v>
      </c>
      <c r="D153" s="435">
        <v>6287104</v>
      </c>
      <c r="E153" s="435">
        <v>813320</v>
      </c>
      <c r="F153" s="374" t="s">
        <v>1553</v>
      </c>
      <c r="G153" s="374" t="s">
        <v>1575</v>
      </c>
      <c r="H153" s="466">
        <v>1</v>
      </c>
      <c r="I153" s="541">
        <v>29612</v>
      </c>
      <c r="J153" s="466">
        <v>1</v>
      </c>
      <c r="K153" s="541">
        <v>30000</v>
      </c>
      <c r="L153" s="541"/>
      <c r="M153" s="541"/>
      <c r="N153" s="541"/>
      <c r="O153" s="541"/>
      <c r="P153" s="541"/>
      <c r="Q153" s="541"/>
      <c r="R153" s="541"/>
      <c r="S153" s="541"/>
      <c r="T153" s="541"/>
      <c r="U153" s="541"/>
      <c r="V153" s="466">
        <v>1</v>
      </c>
      <c r="W153" s="541">
        <v>30000</v>
      </c>
      <c r="Z153" s="897">
        <v>38968</v>
      </c>
      <c r="AA153" s="897"/>
      <c r="AB153" s="897"/>
    </row>
    <row r="154" spans="1:28" x14ac:dyDescent="0.2">
      <c r="A154" s="924">
        <v>1</v>
      </c>
      <c r="B154" s="374" t="s">
        <v>987</v>
      </c>
      <c r="C154" s="374" t="s">
        <v>1581</v>
      </c>
      <c r="D154" s="435">
        <v>6574078</v>
      </c>
      <c r="E154" s="435">
        <v>813320</v>
      </c>
      <c r="F154" s="374" t="s">
        <v>1553</v>
      </c>
      <c r="G154" s="374" t="s">
        <v>1575</v>
      </c>
      <c r="H154" s="466">
        <f>40/42.5</f>
        <v>0.94117647058823528</v>
      </c>
      <c r="I154" s="541">
        <v>73733</v>
      </c>
      <c r="J154" s="466">
        <f>40/42.5</f>
        <v>0.94117647058823528</v>
      </c>
      <c r="K154" s="541">
        <v>74000</v>
      </c>
      <c r="L154" s="541"/>
      <c r="M154" s="541"/>
      <c r="N154" s="541"/>
      <c r="O154" s="541"/>
      <c r="P154" s="541"/>
      <c r="Q154" s="541"/>
      <c r="R154" s="541"/>
      <c r="S154" s="541"/>
      <c r="T154" s="541"/>
      <c r="U154" s="541"/>
      <c r="V154" s="466">
        <f>40/42.5</f>
        <v>0.94117647058823528</v>
      </c>
      <c r="W154" s="541">
        <v>74000</v>
      </c>
      <c r="Z154" s="897">
        <v>32791</v>
      </c>
      <c r="AA154" s="897"/>
      <c r="AB154" s="897"/>
    </row>
    <row r="155" spans="1:28" x14ac:dyDescent="0.2">
      <c r="A155" s="924">
        <v>1</v>
      </c>
      <c r="B155" s="374" t="s">
        <v>983</v>
      </c>
      <c r="C155" s="374" t="s">
        <v>1075</v>
      </c>
      <c r="D155" s="435">
        <v>32163602</v>
      </c>
      <c r="E155" s="435">
        <v>813320</v>
      </c>
      <c r="F155" s="374" t="s">
        <v>1553</v>
      </c>
      <c r="G155" s="374" t="s">
        <v>1575</v>
      </c>
      <c r="H155" s="466">
        <f>30/42.5</f>
        <v>0.70588235294117652</v>
      </c>
      <c r="I155" s="541">
        <v>44650</v>
      </c>
      <c r="J155" s="466">
        <f>30/42.5</f>
        <v>0.70588235294117652</v>
      </c>
      <c r="K155" s="541">
        <v>45000</v>
      </c>
      <c r="L155" s="541"/>
      <c r="M155" s="541"/>
      <c r="N155" s="541"/>
      <c r="O155" s="541"/>
      <c r="P155" s="541"/>
      <c r="Q155" s="541"/>
      <c r="R155" s="541"/>
      <c r="S155" s="541"/>
      <c r="T155" s="541"/>
      <c r="U155" s="541"/>
      <c r="V155" s="466">
        <f>30/42.5</f>
        <v>0.70588235294117652</v>
      </c>
      <c r="W155" s="439">
        <v>45000</v>
      </c>
      <c r="Z155" s="897">
        <v>70610</v>
      </c>
      <c r="AA155" s="897"/>
      <c r="AB155" s="897"/>
    </row>
    <row r="156" spans="1:28" x14ac:dyDescent="0.2">
      <c r="A156" s="1010">
        <v>1</v>
      </c>
      <c r="B156" s="995" t="s">
        <v>1331</v>
      </c>
      <c r="C156" s="995" t="s">
        <v>1389</v>
      </c>
      <c r="D156" s="996">
        <v>56256126</v>
      </c>
      <c r="E156" s="996">
        <v>813320</v>
      </c>
      <c r="F156" s="995" t="s">
        <v>1553</v>
      </c>
      <c r="G156" s="995" t="s">
        <v>1575</v>
      </c>
      <c r="H156" s="997">
        <v>0</v>
      </c>
      <c r="I156" s="998">
        <v>0</v>
      </c>
      <c r="J156" s="997">
        <v>0</v>
      </c>
      <c r="K156" s="998">
        <v>25000</v>
      </c>
      <c r="L156" s="998"/>
      <c r="M156" s="998"/>
      <c r="N156" s="998"/>
      <c r="O156" s="998"/>
      <c r="P156" s="998"/>
      <c r="Q156" s="998"/>
      <c r="R156" s="998"/>
      <c r="S156" s="998"/>
      <c r="T156" s="998"/>
      <c r="U156" s="998"/>
      <c r="V156" s="997">
        <v>0</v>
      </c>
      <c r="W156" s="998">
        <v>25000</v>
      </c>
      <c r="Z156" s="897">
        <v>35323</v>
      </c>
      <c r="AA156" s="897"/>
      <c r="AB156" s="897"/>
    </row>
    <row r="157" spans="1:28" x14ac:dyDescent="0.2">
      <c r="A157" s="1010">
        <v>1</v>
      </c>
      <c r="B157" s="995" t="s">
        <v>924</v>
      </c>
      <c r="C157" s="995" t="s">
        <v>1472</v>
      </c>
      <c r="D157" s="996">
        <v>35845361</v>
      </c>
      <c r="E157" s="996">
        <v>813320</v>
      </c>
      <c r="F157" s="995" t="s">
        <v>1553</v>
      </c>
      <c r="G157" s="995" t="s">
        <v>1575</v>
      </c>
      <c r="H157" s="997">
        <f>40/42.5</f>
        <v>0.94117647058823528</v>
      </c>
      <c r="I157" s="998">
        <v>76826</v>
      </c>
      <c r="J157" s="997">
        <v>0.94</v>
      </c>
      <c r="K157" s="998">
        <v>77000</v>
      </c>
      <c r="L157" s="998"/>
      <c r="M157" s="998"/>
      <c r="N157" s="998"/>
      <c r="O157" s="998"/>
      <c r="P157" s="998"/>
      <c r="Q157" s="998"/>
      <c r="R157" s="998"/>
      <c r="S157" s="998"/>
      <c r="T157" s="998"/>
      <c r="U157" s="998"/>
      <c r="V157" s="997">
        <v>0.94</v>
      </c>
      <c r="W157" s="998">
        <v>77000</v>
      </c>
      <c r="Z157" s="897"/>
      <c r="AA157" s="897"/>
      <c r="AB157" s="897"/>
    </row>
    <row r="158" spans="1:28" x14ac:dyDescent="0.2">
      <c r="A158" s="1010">
        <v>1</v>
      </c>
      <c r="B158" s="995" t="s">
        <v>1540</v>
      </c>
      <c r="C158" s="995" t="s">
        <v>1582</v>
      </c>
      <c r="D158" s="996">
        <v>30505631</v>
      </c>
      <c r="E158" s="996">
        <v>813320</v>
      </c>
      <c r="F158" s="995" t="s">
        <v>1553</v>
      </c>
      <c r="G158" s="995" t="s">
        <v>1575</v>
      </c>
      <c r="H158" s="997">
        <v>0</v>
      </c>
      <c r="I158" s="998">
        <v>35323</v>
      </c>
      <c r="J158" s="997">
        <v>0</v>
      </c>
      <c r="K158" s="998">
        <v>36000</v>
      </c>
      <c r="L158" s="998"/>
      <c r="M158" s="998"/>
      <c r="N158" s="998"/>
      <c r="O158" s="998"/>
      <c r="P158" s="998"/>
      <c r="Q158" s="998"/>
      <c r="R158" s="998"/>
      <c r="S158" s="998"/>
      <c r="T158" s="998"/>
      <c r="U158" s="998"/>
      <c r="V158" s="997">
        <v>0</v>
      </c>
      <c r="W158" s="998">
        <v>36000</v>
      </c>
      <c r="Z158" s="897">
        <v>40413</v>
      </c>
      <c r="AA158" s="897"/>
      <c r="AB158" s="897"/>
    </row>
    <row r="159" spans="1:28" x14ac:dyDescent="0.2">
      <c r="A159" s="1010">
        <v>1</v>
      </c>
      <c r="B159" s="1008" t="s">
        <v>1570</v>
      </c>
      <c r="C159" s="1008" t="s">
        <v>1535</v>
      </c>
      <c r="D159" s="1009">
        <v>30993796</v>
      </c>
      <c r="E159" s="1009">
        <v>813320</v>
      </c>
      <c r="F159" s="995" t="s">
        <v>1553</v>
      </c>
      <c r="G159" s="995" t="s">
        <v>1575</v>
      </c>
      <c r="H159" s="997">
        <v>0</v>
      </c>
      <c r="I159" s="998">
        <v>0</v>
      </c>
      <c r="J159" s="997">
        <v>0</v>
      </c>
      <c r="K159" s="998">
        <v>10000</v>
      </c>
      <c r="L159" s="998"/>
      <c r="M159" s="998"/>
      <c r="N159" s="998"/>
      <c r="O159" s="998"/>
      <c r="P159" s="998"/>
      <c r="Q159" s="998"/>
      <c r="R159" s="998"/>
      <c r="S159" s="998"/>
      <c r="T159" s="998"/>
      <c r="U159" s="998"/>
      <c r="V159" s="997">
        <v>0</v>
      </c>
      <c r="W159" s="998">
        <v>10000</v>
      </c>
      <c r="Z159" s="897">
        <v>17339</v>
      </c>
      <c r="AA159" s="897"/>
      <c r="AB159" s="897"/>
    </row>
    <row r="160" spans="1:28" x14ac:dyDescent="0.2">
      <c r="A160" s="1010">
        <v>1</v>
      </c>
      <c r="B160" s="1008" t="s">
        <v>1377</v>
      </c>
      <c r="C160" s="1008" t="s">
        <v>1792</v>
      </c>
      <c r="D160" s="1009">
        <v>33362294</v>
      </c>
      <c r="E160" s="1009">
        <v>813320</v>
      </c>
      <c r="F160" s="995" t="s">
        <v>1553</v>
      </c>
      <c r="G160" s="995" t="s">
        <v>1575</v>
      </c>
      <c r="H160" s="997">
        <v>0</v>
      </c>
      <c r="I160" s="998">
        <v>5020</v>
      </c>
      <c r="J160" s="997">
        <v>0</v>
      </c>
      <c r="K160" s="998">
        <v>0</v>
      </c>
      <c r="L160" s="998"/>
      <c r="M160" s="998"/>
      <c r="N160" s="998"/>
      <c r="O160" s="998"/>
      <c r="P160" s="998"/>
      <c r="Q160" s="998"/>
      <c r="R160" s="998"/>
      <c r="S160" s="998"/>
      <c r="T160" s="998"/>
      <c r="U160" s="998"/>
      <c r="V160" s="997">
        <v>0</v>
      </c>
      <c r="W160" s="998">
        <v>0</v>
      </c>
      <c r="Z160" s="897">
        <f>5099+47490</f>
        <v>52589</v>
      </c>
      <c r="AA160" s="897"/>
      <c r="AB160" s="897"/>
    </row>
    <row r="161" spans="1:28" x14ac:dyDescent="0.2">
      <c r="A161" s="1010">
        <v>1</v>
      </c>
      <c r="B161" s="1008" t="s">
        <v>1469</v>
      </c>
      <c r="C161" s="1008" t="s">
        <v>1583</v>
      </c>
      <c r="D161" s="1009">
        <v>2618527</v>
      </c>
      <c r="E161" s="1009">
        <v>813320</v>
      </c>
      <c r="F161" s="995" t="s">
        <v>1553</v>
      </c>
      <c r="G161" s="995" t="s">
        <v>1575</v>
      </c>
      <c r="H161" s="997">
        <v>1</v>
      </c>
      <c r="I161" s="998">
        <v>17339</v>
      </c>
      <c r="J161" s="997">
        <v>0</v>
      </c>
      <c r="K161" s="998">
        <v>0</v>
      </c>
      <c r="L161" s="998"/>
      <c r="M161" s="998"/>
      <c r="N161" s="998"/>
      <c r="O161" s="998"/>
      <c r="P161" s="998"/>
      <c r="Q161" s="998"/>
      <c r="R161" s="998"/>
      <c r="S161" s="998"/>
      <c r="T161" s="998"/>
      <c r="U161" s="998"/>
      <c r="V161" s="997">
        <v>0</v>
      </c>
      <c r="W161" s="998">
        <v>0</v>
      </c>
      <c r="Z161" s="897">
        <v>12195</v>
      </c>
      <c r="AA161" s="897"/>
      <c r="AB161" s="897"/>
    </row>
    <row r="162" spans="1:28" x14ac:dyDescent="0.2">
      <c r="A162" s="1011">
        <v>1</v>
      </c>
      <c r="B162" s="995" t="s">
        <v>1116</v>
      </c>
      <c r="C162" s="995" t="s">
        <v>1435</v>
      </c>
      <c r="D162" s="996">
        <v>3408409</v>
      </c>
      <c r="E162" s="996">
        <v>813320</v>
      </c>
      <c r="F162" s="995" t="s">
        <v>1553</v>
      </c>
      <c r="G162" s="995" t="s">
        <v>1575</v>
      </c>
      <c r="H162" s="997">
        <v>1</v>
      </c>
      <c r="I162" s="998">
        <v>53899</v>
      </c>
      <c r="J162" s="997">
        <v>1</v>
      </c>
      <c r="K162" s="998">
        <v>54000</v>
      </c>
      <c r="L162" s="998"/>
      <c r="M162" s="998"/>
      <c r="N162" s="998"/>
      <c r="O162" s="998"/>
      <c r="P162" s="998"/>
      <c r="Q162" s="998"/>
      <c r="R162" s="998"/>
      <c r="S162" s="998"/>
      <c r="T162" s="998"/>
      <c r="U162" s="998"/>
      <c r="V162" s="997">
        <v>1</v>
      </c>
      <c r="W162" s="998">
        <v>54000</v>
      </c>
      <c r="Z162" s="897">
        <v>11188</v>
      </c>
      <c r="AA162" s="897"/>
      <c r="AB162" s="897"/>
    </row>
    <row r="163" spans="1:28" x14ac:dyDescent="0.2">
      <c r="A163" s="1011">
        <v>1</v>
      </c>
      <c r="B163" s="995" t="s">
        <v>1712</v>
      </c>
      <c r="C163" s="1008" t="s">
        <v>1713</v>
      </c>
      <c r="D163" s="1009">
        <v>6614470</v>
      </c>
      <c r="E163" s="1009">
        <v>813320</v>
      </c>
      <c r="F163" s="995" t="s">
        <v>1553</v>
      </c>
      <c r="G163" s="995" t="s">
        <v>1575</v>
      </c>
      <c r="H163" s="1006">
        <v>1</v>
      </c>
      <c r="I163" s="998">
        <v>17015</v>
      </c>
      <c r="J163" s="1006">
        <v>1</v>
      </c>
      <c r="K163" s="998">
        <v>17500</v>
      </c>
      <c r="L163" s="1014"/>
      <c r="M163" s="1014"/>
      <c r="N163" s="1014"/>
      <c r="O163" s="1014"/>
      <c r="P163" s="1014"/>
      <c r="Q163" s="1014"/>
      <c r="R163" s="1014"/>
      <c r="S163" s="1014"/>
      <c r="T163" s="1014"/>
      <c r="U163" s="1014"/>
      <c r="V163" s="1006">
        <v>1</v>
      </c>
      <c r="W163" s="998">
        <v>17500</v>
      </c>
      <c r="Z163" s="897"/>
      <c r="AA163" s="897"/>
      <c r="AB163" s="897"/>
    </row>
    <row r="164" spans="1:28" x14ac:dyDescent="0.2">
      <c r="A164" s="1011">
        <v>1</v>
      </c>
      <c r="B164" s="995" t="s">
        <v>955</v>
      </c>
      <c r="C164" s="1008" t="s">
        <v>1714</v>
      </c>
      <c r="D164" s="1009">
        <v>20363723</v>
      </c>
      <c r="E164" s="1009">
        <v>813320</v>
      </c>
      <c r="F164" s="995" t="s">
        <v>1553</v>
      </c>
      <c r="G164" s="995" t="s">
        <v>1575</v>
      </c>
      <c r="H164" s="1006">
        <v>0</v>
      </c>
      <c r="I164" s="998">
        <v>16566</v>
      </c>
      <c r="J164" s="998">
        <v>0</v>
      </c>
      <c r="K164" s="998">
        <v>16700</v>
      </c>
      <c r="L164" s="1014"/>
      <c r="M164" s="1014"/>
      <c r="N164" s="1014"/>
      <c r="O164" s="1014"/>
      <c r="P164" s="1014"/>
      <c r="Q164" s="1014"/>
      <c r="R164" s="1014"/>
      <c r="S164" s="1014"/>
      <c r="T164" s="1014"/>
      <c r="U164" s="1014"/>
      <c r="V164" s="1006">
        <v>0</v>
      </c>
      <c r="W164" s="998">
        <v>16700</v>
      </c>
      <c r="Z164" s="897">
        <v>70080</v>
      </c>
      <c r="AA164" s="897"/>
      <c r="AB164" s="897"/>
    </row>
    <row r="165" spans="1:28" x14ac:dyDescent="0.2">
      <c r="A165" s="1011">
        <v>1</v>
      </c>
      <c r="B165" s="995" t="s">
        <v>948</v>
      </c>
      <c r="C165" s="1008" t="s">
        <v>1456</v>
      </c>
      <c r="D165" s="1009">
        <v>3457700</v>
      </c>
      <c r="E165" s="1009">
        <v>813320</v>
      </c>
      <c r="F165" s="995" t="s">
        <v>1553</v>
      </c>
      <c r="G165" s="995" t="s">
        <v>1575</v>
      </c>
      <c r="H165" s="1006">
        <v>0</v>
      </c>
      <c r="I165" s="998">
        <v>2655</v>
      </c>
      <c r="J165" s="998">
        <v>0</v>
      </c>
      <c r="K165" s="998">
        <v>2655</v>
      </c>
      <c r="L165" s="1014"/>
      <c r="M165" s="1014"/>
      <c r="N165" s="1014"/>
      <c r="O165" s="1014"/>
      <c r="P165" s="1014"/>
      <c r="Q165" s="1014"/>
      <c r="R165" s="1014"/>
      <c r="S165" s="1014"/>
      <c r="T165" s="1014"/>
      <c r="U165" s="1014"/>
      <c r="V165" s="1006">
        <v>0</v>
      </c>
      <c r="W165" s="998">
        <v>2655</v>
      </c>
      <c r="Z165" s="897"/>
      <c r="AA165" s="897"/>
      <c r="AB165" s="897"/>
    </row>
    <row r="166" spans="1:28" x14ac:dyDescent="0.2">
      <c r="A166" s="1011">
        <v>1</v>
      </c>
      <c r="B166" s="995" t="s">
        <v>975</v>
      </c>
      <c r="C166" s="1008" t="s">
        <v>1582</v>
      </c>
      <c r="D166" s="1009">
        <v>30993796</v>
      </c>
      <c r="E166" s="1009">
        <v>813320</v>
      </c>
      <c r="F166" s="995" t="s">
        <v>1553</v>
      </c>
      <c r="G166" s="995" t="s">
        <v>1575</v>
      </c>
      <c r="H166" s="1006">
        <v>0</v>
      </c>
      <c r="I166" s="998">
        <v>36987</v>
      </c>
      <c r="J166" s="998">
        <v>0</v>
      </c>
      <c r="K166" s="998">
        <v>37000</v>
      </c>
      <c r="L166" s="1014"/>
      <c r="M166" s="1014"/>
      <c r="N166" s="1014"/>
      <c r="O166" s="1014"/>
      <c r="P166" s="1014"/>
      <c r="Q166" s="1014"/>
      <c r="R166" s="1014"/>
      <c r="S166" s="1014"/>
      <c r="T166" s="1014"/>
      <c r="U166" s="1014"/>
      <c r="V166" s="1006">
        <v>0</v>
      </c>
      <c r="W166" s="998">
        <v>37000</v>
      </c>
      <c r="Z166" s="897"/>
      <c r="AA166" s="897"/>
      <c r="AB166" s="897"/>
    </row>
    <row r="167" spans="1:28" x14ac:dyDescent="0.2">
      <c r="A167" s="1011">
        <v>1</v>
      </c>
      <c r="B167" s="995" t="s">
        <v>1844</v>
      </c>
      <c r="C167" s="1008" t="s">
        <v>1793</v>
      </c>
      <c r="D167" s="1009">
        <v>3907613</v>
      </c>
      <c r="E167" s="1009">
        <v>813320</v>
      </c>
      <c r="F167" s="995" t="s">
        <v>1553</v>
      </c>
      <c r="G167" s="995" t="s">
        <v>1575</v>
      </c>
      <c r="H167" s="1006">
        <v>0</v>
      </c>
      <c r="I167" s="998">
        <v>19244</v>
      </c>
      <c r="J167" s="998">
        <v>0</v>
      </c>
      <c r="K167" s="998">
        <v>45000</v>
      </c>
      <c r="L167" s="1014"/>
      <c r="M167" s="1014"/>
      <c r="N167" s="1014"/>
      <c r="O167" s="1014"/>
      <c r="P167" s="1014"/>
      <c r="Q167" s="1014"/>
      <c r="R167" s="1014"/>
      <c r="S167" s="1014"/>
      <c r="T167" s="1014"/>
      <c r="U167" s="1014"/>
      <c r="V167" s="1006">
        <v>0</v>
      </c>
      <c r="W167" s="998">
        <v>45000</v>
      </c>
      <c r="Z167" s="897"/>
      <c r="AA167" s="897"/>
      <c r="AB167" s="897"/>
    </row>
    <row r="168" spans="1:28" x14ac:dyDescent="0.2">
      <c r="A168" s="1011">
        <v>1</v>
      </c>
      <c r="B168" s="995" t="s">
        <v>943</v>
      </c>
      <c r="C168" s="1008" t="s">
        <v>1046</v>
      </c>
      <c r="D168" s="1009">
        <v>32371500</v>
      </c>
      <c r="E168" s="1009">
        <v>813320</v>
      </c>
      <c r="F168" s="995" t="s">
        <v>1553</v>
      </c>
      <c r="G168" s="995" t="s">
        <v>1575</v>
      </c>
      <c r="H168" s="1006">
        <v>0</v>
      </c>
      <c r="I168" s="998">
        <v>40412</v>
      </c>
      <c r="J168" s="998">
        <v>0</v>
      </c>
      <c r="K168" s="998">
        <v>40500</v>
      </c>
      <c r="L168" s="1014"/>
      <c r="M168" s="1014"/>
      <c r="N168" s="1014"/>
      <c r="O168" s="1014"/>
      <c r="P168" s="1014"/>
      <c r="Q168" s="1014"/>
      <c r="R168" s="1014"/>
      <c r="S168" s="1014"/>
      <c r="T168" s="1014"/>
      <c r="U168" s="1014"/>
      <c r="V168" s="1006">
        <v>0</v>
      </c>
      <c r="W168" s="998">
        <v>40500</v>
      </c>
      <c r="Z168" s="897"/>
      <c r="AA168" s="897"/>
      <c r="AB168" s="897"/>
    </row>
    <row r="169" spans="1:28" s="912" customFormat="1" x14ac:dyDescent="0.2">
      <c r="A169" s="540" t="s">
        <v>1584</v>
      </c>
      <c r="B169" s="484"/>
      <c r="C169" s="484"/>
      <c r="D169" s="485"/>
      <c r="E169" s="485"/>
      <c r="F169" s="484"/>
      <c r="G169" s="484"/>
      <c r="H169" s="486">
        <v>0</v>
      </c>
      <c r="I169" s="487">
        <f>SUM(I149:I168)</f>
        <v>594067</v>
      </c>
      <c r="J169" s="932">
        <f>SUM(J149:J168)</f>
        <v>6.763529411764706</v>
      </c>
      <c r="K169" s="487">
        <f>SUM(K149:K168)</f>
        <v>632737</v>
      </c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932">
        <f>SUM(V149:V168)</f>
        <v>6.763529411764706</v>
      </c>
      <c r="W169" s="487">
        <f>SUM(W149:W168)</f>
        <v>632737</v>
      </c>
      <c r="Z169" s="897">
        <v>41087</v>
      </c>
      <c r="AA169" s="897"/>
      <c r="AB169" s="897"/>
    </row>
    <row r="170" spans="1:28" x14ac:dyDescent="0.2">
      <c r="A170" s="535">
        <v>1</v>
      </c>
      <c r="B170" s="374" t="s">
        <v>924</v>
      </c>
      <c r="C170" s="374" t="s">
        <v>1585</v>
      </c>
      <c r="D170" s="435">
        <v>2328715</v>
      </c>
      <c r="E170" s="435">
        <v>814000</v>
      </c>
      <c r="F170" s="374" t="s">
        <v>1586</v>
      </c>
      <c r="G170" s="374" t="s">
        <v>981</v>
      </c>
      <c r="H170" s="466">
        <v>0.5</v>
      </c>
      <c r="I170" s="439">
        <v>76520</v>
      </c>
      <c r="J170" s="466">
        <v>0.5</v>
      </c>
      <c r="K170" s="439">
        <v>77000</v>
      </c>
      <c r="L170" s="439"/>
      <c r="M170" s="439"/>
      <c r="N170" s="439"/>
      <c r="O170" s="439"/>
      <c r="P170" s="439"/>
      <c r="Q170" s="439"/>
      <c r="R170" s="439"/>
      <c r="S170" s="439"/>
      <c r="T170" s="439"/>
      <c r="U170" s="439"/>
      <c r="V170" s="466">
        <v>0.5</v>
      </c>
      <c r="W170" s="439">
        <v>77000</v>
      </c>
      <c r="Z170" s="897">
        <v>52105</v>
      </c>
      <c r="AA170" s="897"/>
      <c r="AB170" s="897"/>
    </row>
    <row r="171" spans="1:28" x14ac:dyDescent="0.2">
      <c r="A171" s="535">
        <v>1</v>
      </c>
      <c r="B171" s="374" t="s">
        <v>958</v>
      </c>
      <c r="C171" s="374" t="s">
        <v>1129</v>
      </c>
      <c r="D171" s="435">
        <v>3311068</v>
      </c>
      <c r="E171" s="435">
        <v>814000</v>
      </c>
      <c r="F171" s="374" t="s">
        <v>1586</v>
      </c>
      <c r="G171" s="374" t="s">
        <v>981</v>
      </c>
      <c r="H171" s="466">
        <v>0.5</v>
      </c>
      <c r="I171" s="439">
        <v>44595</v>
      </c>
      <c r="J171" s="466">
        <v>0.5</v>
      </c>
      <c r="K171" s="439">
        <v>45000</v>
      </c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66">
        <v>0.5</v>
      </c>
      <c r="W171" s="439">
        <v>45000</v>
      </c>
      <c r="Z171" s="897">
        <v>57390</v>
      </c>
      <c r="AA171" s="897"/>
      <c r="AB171" s="897"/>
    </row>
    <row r="172" spans="1:28" x14ac:dyDescent="0.2">
      <c r="A172" s="994">
        <v>1</v>
      </c>
      <c r="B172" s="995" t="s">
        <v>1438</v>
      </c>
      <c r="C172" s="995" t="s">
        <v>1558</v>
      </c>
      <c r="D172" s="996">
        <v>3945507</v>
      </c>
      <c r="E172" s="996">
        <v>814000</v>
      </c>
      <c r="F172" s="995" t="s">
        <v>1586</v>
      </c>
      <c r="G172" s="997" t="s">
        <v>981</v>
      </c>
      <c r="H172" s="997">
        <v>0.5</v>
      </c>
      <c r="I172" s="998">
        <v>56350</v>
      </c>
      <c r="J172" s="997">
        <v>0.5</v>
      </c>
      <c r="K172" s="998">
        <v>57000</v>
      </c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7">
        <v>0.5</v>
      </c>
      <c r="W172" s="998">
        <v>57000</v>
      </c>
      <c r="Z172" s="897"/>
      <c r="AA172" s="897"/>
      <c r="AB172" s="897"/>
    </row>
    <row r="173" spans="1:28" x14ac:dyDescent="0.2">
      <c r="A173" s="994">
        <v>1</v>
      </c>
      <c r="B173" s="995" t="s">
        <v>1077</v>
      </c>
      <c r="C173" s="995" t="s">
        <v>1071</v>
      </c>
      <c r="D173" s="996">
        <v>5043571</v>
      </c>
      <c r="E173" s="996">
        <v>814000</v>
      </c>
      <c r="F173" s="995" t="s">
        <v>1586</v>
      </c>
      <c r="G173" s="995"/>
      <c r="H173" s="997">
        <v>0.5</v>
      </c>
      <c r="I173" s="998">
        <v>62123</v>
      </c>
      <c r="J173" s="997">
        <v>0.5</v>
      </c>
      <c r="K173" s="998">
        <v>65000</v>
      </c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7">
        <v>0.5</v>
      </c>
      <c r="W173" s="998">
        <v>65000</v>
      </c>
      <c r="Z173" s="897">
        <v>53136</v>
      </c>
      <c r="AA173" s="897"/>
      <c r="AB173" s="897"/>
    </row>
    <row r="174" spans="1:28" x14ac:dyDescent="0.2">
      <c r="A174" s="994">
        <v>1</v>
      </c>
      <c r="B174" s="995" t="s">
        <v>1077</v>
      </c>
      <c r="C174" s="995" t="s">
        <v>1348</v>
      </c>
      <c r="D174" s="996">
        <v>3443023</v>
      </c>
      <c r="E174" s="996">
        <v>814000</v>
      </c>
      <c r="F174" s="995" t="s">
        <v>1586</v>
      </c>
      <c r="G174" s="995"/>
      <c r="H174" s="997">
        <v>0.5</v>
      </c>
      <c r="I174" s="998">
        <v>0</v>
      </c>
      <c r="J174" s="997">
        <v>0.5</v>
      </c>
      <c r="K174" s="998">
        <v>0</v>
      </c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7">
        <v>0.5</v>
      </c>
      <c r="W174" s="998">
        <v>0</v>
      </c>
      <c r="Z174" s="897">
        <v>41106</v>
      </c>
      <c r="AA174" s="897"/>
      <c r="AB174" s="897"/>
    </row>
    <row r="175" spans="1:28" x14ac:dyDescent="0.2">
      <c r="A175" s="994">
        <v>1</v>
      </c>
      <c r="B175" s="995" t="s">
        <v>1587</v>
      </c>
      <c r="C175" s="995" t="s">
        <v>1588</v>
      </c>
      <c r="D175" s="996">
        <v>5439344</v>
      </c>
      <c r="E175" s="996">
        <v>814000</v>
      </c>
      <c r="F175" s="995" t="s">
        <v>1586</v>
      </c>
      <c r="G175" s="995"/>
      <c r="H175" s="997">
        <v>0.5</v>
      </c>
      <c r="I175" s="998">
        <v>57722</v>
      </c>
      <c r="J175" s="997">
        <v>0.5</v>
      </c>
      <c r="K175" s="998">
        <v>58000</v>
      </c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7">
        <v>0.5</v>
      </c>
      <c r="W175" s="998">
        <v>58000</v>
      </c>
      <c r="Z175" s="897">
        <v>53760</v>
      </c>
      <c r="AA175" s="897"/>
      <c r="AB175" s="897"/>
    </row>
    <row r="176" spans="1:28" x14ac:dyDescent="0.2">
      <c r="A176" s="994">
        <v>1</v>
      </c>
      <c r="B176" s="995" t="s">
        <v>975</v>
      </c>
      <c r="C176" s="995" t="s">
        <v>1589</v>
      </c>
      <c r="D176" s="996">
        <v>5581656</v>
      </c>
      <c r="E176" s="996">
        <v>814000</v>
      </c>
      <c r="F176" s="995" t="s">
        <v>1586</v>
      </c>
      <c r="G176" s="995" t="s">
        <v>931</v>
      </c>
      <c r="H176" s="997">
        <v>0.5</v>
      </c>
      <c r="I176" s="998">
        <v>41106</v>
      </c>
      <c r="J176" s="997">
        <v>0.5</v>
      </c>
      <c r="K176" s="998">
        <v>0</v>
      </c>
      <c r="L176" s="998"/>
      <c r="M176" s="998"/>
      <c r="N176" s="998"/>
      <c r="O176" s="998"/>
      <c r="P176" s="998"/>
      <c r="Q176" s="998"/>
      <c r="R176" s="998"/>
      <c r="S176" s="998"/>
      <c r="T176" s="998"/>
      <c r="U176" s="998"/>
      <c r="V176" s="997">
        <v>0.5</v>
      </c>
      <c r="W176" s="998">
        <v>0</v>
      </c>
      <c r="Z176" s="897">
        <v>85862</v>
      </c>
      <c r="AA176" s="897"/>
      <c r="AB176" s="897"/>
    </row>
    <row r="177" spans="1:28" x14ac:dyDescent="0.2">
      <c r="A177" s="994">
        <v>1</v>
      </c>
      <c r="B177" s="995" t="s">
        <v>975</v>
      </c>
      <c r="C177" s="995" t="s">
        <v>1590</v>
      </c>
      <c r="D177" s="996">
        <v>5631600</v>
      </c>
      <c r="E177" s="996">
        <v>814000</v>
      </c>
      <c r="F177" s="995" t="s">
        <v>1586</v>
      </c>
      <c r="G177" s="995" t="s">
        <v>1837</v>
      </c>
      <c r="H177" s="997">
        <v>0.5</v>
      </c>
      <c r="I177" s="998">
        <v>58328</v>
      </c>
      <c r="J177" s="997">
        <v>0.5</v>
      </c>
      <c r="K177" s="998">
        <v>60000</v>
      </c>
      <c r="L177" s="998"/>
      <c r="M177" s="998"/>
      <c r="N177" s="998"/>
      <c r="O177" s="998"/>
      <c r="P177" s="998"/>
      <c r="Q177" s="998"/>
      <c r="R177" s="998"/>
      <c r="S177" s="998"/>
      <c r="T177" s="998"/>
      <c r="U177" s="998"/>
      <c r="V177" s="997">
        <v>0.5</v>
      </c>
      <c r="W177" s="998">
        <v>60000</v>
      </c>
      <c r="Z177" s="897">
        <v>92193</v>
      </c>
      <c r="AA177" s="897"/>
      <c r="AB177" s="897"/>
    </row>
    <row r="178" spans="1:28" x14ac:dyDescent="0.2">
      <c r="A178" s="994">
        <v>1</v>
      </c>
      <c r="B178" s="995" t="s">
        <v>1068</v>
      </c>
      <c r="C178" s="995" t="s">
        <v>1591</v>
      </c>
      <c r="D178" s="996">
        <v>5897607</v>
      </c>
      <c r="E178" s="996">
        <v>814000</v>
      </c>
      <c r="F178" s="995" t="s">
        <v>1586</v>
      </c>
      <c r="G178" s="995" t="s">
        <v>1213</v>
      </c>
      <c r="H178" s="997">
        <v>1</v>
      </c>
      <c r="I178" s="998">
        <v>92935</v>
      </c>
      <c r="J178" s="997">
        <v>1</v>
      </c>
      <c r="K178" s="998">
        <v>93000</v>
      </c>
      <c r="L178" s="998"/>
      <c r="M178" s="998"/>
      <c r="N178" s="998"/>
      <c r="O178" s="998"/>
      <c r="P178" s="998"/>
      <c r="Q178" s="998"/>
      <c r="R178" s="998"/>
      <c r="S178" s="998"/>
      <c r="T178" s="998"/>
      <c r="U178" s="998"/>
      <c r="V178" s="997">
        <v>1</v>
      </c>
      <c r="W178" s="998">
        <v>93000</v>
      </c>
      <c r="Z178" s="897">
        <v>51482</v>
      </c>
      <c r="AA178" s="897"/>
      <c r="AB178" s="897"/>
    </row>
    <row r="179" spans="1:28" x14ac:dyDescent="0.2">
      <c r="A179" s="994">
        <v>1</v>
      </c>
      <c r="B179" s="995" t="s">
        <v>958</v>
      </c>
      <c r="C179" s="995" t="s">
        <v>1593</v>
      </c>
      <c r="D179" s="996">
        <v>5897797</v>
      </c>
      <c r="E179" s="996">
        <v>814000</v>
      </c>
      <c r="F179" s="995" t="s">
        <v>1586</v>
      </c>
      <c r="G179" s="995"/>
      <c r="H179" s="997">
        <v>1</v>
      </c>
      <c r="I179" s="998">
        <v>99694</v>
      </c>
      <c r="J179" s="997">
        <v>1</v>
      </c>
      <c r="K179" s="998">
        <v>99700</v>
      </c>
      <c r="L179" s="998"/>
      <c r="M179" s="998"/>
      <c r="N179" s="998"/>
      <c r="O179" s="998"/>
      <c r="P179" s="998"/>
      <c r="Q179" s="998"/>
      <c r="R179" s="998"/>
      <c r="S179" s="998"/>
      <c r="T179" s="998"/>
      <c r="U179" s="998"/>
      <c r="V179" s="997">
        <v>1</v>
      </c>
      <c r="W179" s="998">
        <v>99700</v>
      </c>
      <c r="Z179" s="897">
        <v>58097</v>
      </c>
      <c r="AA179" s="897"/>
      <c r="AB179" s="897"/>
    </row>
    <row r="180" spans="1:28" x14ac:dyDescent="0.2">
      <c r="A180" s="994">
        <v>1</v>
      </c>
      <c r="B180" s="995" t="s">
        <v>1035</v>
      </c>
      <c r="C180" s="995" t="s">
        <v>1594</v>
      </c>
      <c r="D180" s="996">
        <v>6623133</v>
      </c>
      <c r="E180" s="996">
        <v>814000</v>
      </c>
      <c r="F180" s="995" t="s">
        <v>1586</v>
      </c>
      <c r="G180" s="995"/>
      <c r="H180" s="997">
        <v>0.5</v>
      </c>
      <c r="I180" s="998">
        <v>55925</v>
      </c>
      <c r="J180" s="997">
        <v>0.5</v>
      </c>
      <c r="K180" s="998">
        <v>56000</v>
      </c>
      <c r="L180" s="998"/>
      <c r="M180" s="998"/>
      <c r="N180" s="998"/>
      <c r="O180" s="998"/>
      <c r="P180" s="998"/>
      <c r="Q180" s="998"/>
      <c r="R180" s="998"/>
      <c r="S180" s="998"/>
      <c r="T180" s="998"/>
      <c r="U180" s="998"/>
      <c r="V180" s="997">
        <v>0.5</v>
      </c>
      <c r="W180" s="998">
        <v>56000</v>
      </c>
      <c r="Z180" s="897">
        <v>49544</v>
      </c>
      <c r="AA180" s="897"/>
      <c r="AB180" s="897"/>
    </row>
    <row r="181" spans="1:28" x14ac:dyDescent="0.2">
      <c r="A181" s="994">
        <v>1</v>
      </c>
      <c r="B181" s="995" t="s">
        <v>1055</v>
      </c>
      <c r="C181" s="995" t="s">
        <v>971</v>
      </c>
      <c r="D181" s="996">
        <v>2827480</v>
      </c>
      <c r="E181" s="996">
        <v>814000</v>
      </c>
      <c r="F181" s="995" t="s">
        <v>1586</v>
      </c>
      <c r="G181" s="995"/>
      <c r="H181" s="997">
        <v>0.5</v>
      </c>
      <c r="I181" s="998">
        <v>63204</v>
      </c>
      <c r="J181" s="997">
        <v>0.5</v>
      </c>
      <c r="K181" s="998">
        <v>63204</v>
      </c>
      <c r="L181" s="998"/>
      <c r="M181" s="998"/>
      <c r="N181" s="998"/>
      <c r="O181" s="998"/>
      <c r="P181" s="998"/>
      <c r="Q181" s="998"/>
      <c r="R181" s="998"/>
      <c r="S181" s="998"/>
      <c r="T181" s="998"/>
      <c r="U181" s="998"/>
      <c r="V181" s="997">
        <v>0.5</v>
      </c>
      <c r="W181" s="998">
        <v>63204</v>
      </c>
      <c r="Z181" s="897">
        <v>52661</v>
      </c>
      <c r="AA181" s="897"/>
      <c r="AB181" s="897"/>
    </row>
    <row r="182" spans="1:28" x14ac:dyDescent="0.2">
      <c r="A182" s="1012">
        <v>1</v>
      </c>
      <c r="B182" s="995" t="s">
        <v>1052</v>
      </c>
      <c r="C182" s="995" t="s">
        <v>979</v>
      </c>
      <c r="D182" s="996">
        <v>2319412</v>
      </c>
      <c r="E182" s="996">
        <v>814000</v>
      </c>
      <c r="F182" s="995" t="s">
        <v>1595</v>
      </c>
      <c r="G182" s="1000"/>
      <c r="H182" s="1013">
        <v>0.5</v>
      </c>
      <c r="I182" s="998">
        <v>53760</v>
      </c>
      <c r="J182" s="1013">
        <v>0.5</v>
      </c>
      <c r="K182" s="998">
        <v>54000</v>
      </c>
      <c r="L182" s="1039"/>
      <c r="M182" s="1039"/>
      <c r="N182" s="1039"/>
      <c r="O182" s="1039"/>
      <c r="P182" s="1039"/>
      <c r="Q182" s="1039"/>
      <c r="R182" s="1039"/>
      <c r="S182" s="1039"/>
      <c r="T182" s="1039"/>
      <c r="U182" s="1039"/>
      <c r="V182" s="1013">
        <v>0.5</v>
      </c>
      <c r="W182" s="1014">
        <v>54000</v>
      </c>
      <c r="Z182" s="897">
        <v>54424</v>
      </c>
      <c r="AA182" s="897"/>
      <c r="AB182" s="897"/>
    </row>
    <row r="183" spans="1:28" s="911" customFormat="1" x14ac:dyDescent="0.2">
      <c r="A183" s="994">
        <v>1</v>
      </c>
      <c r="B183" s="1000" t="s">
        <v>944</v>
      </c>
      <c r="C183" s="1000" t="s">
        <v>1596</v>
      </c>
      <c r="D183" s="999">
        <v>5992709</v>
      </c>
      <c r="E183" s="999">
        <v>814000</v>
      </c>
      <c r="F183" s="1000" t="s">
        <v>1597</v>
      </c>
      <c r="G183" s="995"/>
      <c r="H183" s="997">
        <v>0.5</v>
      </c>
      <c r="I183" s="1014">
        <v>52661</v>
      </c>
      <c r="J183" s="997">
        <v>0.5</v>
      </c>
      <c r="K183" s="998">
        <v>52662</v>
      </c>
      <c r="L183" s="998"/>
      <c r="M183" s="998"/>
      <c r="N183" s="998"/>
      <c r="O183" s="998"/>
      <c r="P183" s="998"/>
      <c r="Q183" s="998"/>
      <c r="R183" s="998"/>
      <c r="S183" s="998"/>
      <c r="T183" s="998"/>
      <c r="U183" s="998"/>
      <c r="V183" s="997">
        <v>0.5</v>
      </c>
      <c r="W183" s="998">
        <v>0</v>
      </c>
      <c r="Z183" s="923">
        <v>42988</v>
      </c>
      <c r="AA183" s="923"/>
      <c r="AB183" s="923"/>
    </row>
    <row r="184" spans="1:28" x14ac:dyDescent="0.2">
      <c r="A184" s="1012">
        <v>1</v>
      </c>
      <c r="B184" s="995" t="s">
        <v>1540</v>
      </c>
      <c r="C184" s="995" t="s">
        <v>1117</v>
      </c>
      <c r="D184" s="996">
        <v>5581774</v>
      </c>
      <c r="E184" s="996">
        <v>814000</v>
      </c>
      <c r="F184" s="995" t="s">
        <v>1597</v>
      </c>
      <c r="G184" s="995"/>
      <c r="H184" s="997">
        <v>0.5</v>
      </c>
      <c r="I184" s="998">
        <v>59080</v>
      </c>
      <c r="J184" s="997">
        <v>0.5</v>
      </c>
      <c r="K184" s="998">
        <f>33722+20000</f>
        <v>53722</v>
      </c>
      <c r="L184" s="998"/>
      <c r="M184" s="998"/>
      <c r="N184" s="998"/>
      <c r="O184" s="998"/>
      <c r="P184" s="998"/>
      <c r="Q184" s="998"/>
      <c r="R184" s="998"/>
      <c r="S184" s="998"/>
      <c r="T184" s="998"/>
      <c r="U184" s="998"/>
      <c r="V184" s="997">
        <v>0.5</v>
      </c>
      <c r="W184" s="998">
        <v>0</v>
      </c>
      <c r="Z184" s="897">
        <v>89039</v>
      </c>
      <c r="AA184" s="897"/>
      <c r="AB184" s="897"/>
    </row>
    <row r="185" spans="1:28" x14ac:dyDescent="0.2">
      <c r="A185" s="1012">
        <v>1</v>
      </c>
      <c r="B185" s="995" t="s">
        <v>1598</v>
      </c>
      <c r="C185" s="995" t="s">
        <v>1599</v>
      </c>
      <c r="D185" s="996">
        <v>2635877</v>
      </c>
      <c r="E185" s="996">
        <v>814000</v>
      </c>
      <c r="F185" s="995" t="s">
        <v>1597</v>
      </c>
      <c r="G185" s="995"/>
      <c r="H185" s="997">
        <v>0.5</v>
      </c>
      <c r="I185" s="998">
        <v>46622</v>
      </c>
      <c r="J185" s="997">
        <v>0.5</v>
      </c>
      <c r="K185" s="998">
        <f>26165+20000</f>
        <v>46165</v>
      </c>
      <c r="L185" s="998"/>
      <c r="M185" s="998"/>
      <c r="N185" s="998"/>
      <c r="O185" s="998"/>
      <c r="P185" s="998"/>
      <c r="Q185" s="998"/>
      <c r="R185" s="998"/>
      <c r="S185" s="998"/>
      <c r="T185" s="998"/>
      <c r="U185" s="998"/>
      <c r="V185" s="997">
        <v>0.5</v>
      </c>
      <c r="W185" s="998">
        <v>0</v>
      </c>
      <c r="Z185" s="897">
        <f>1975+27800</f>
        <v>29775</v>
      </c>
      <c r="AA185" s="897"/>
      <c r="AB185" s="897"/>
    </row>
    <row r="186" spans="1:28" x14ac:dyDescent="0.2">
      <c r="A186" s="1012">
        <v>1</v>
      </c>
      <c r="B186" s="995" t="s">
        <v>1600</v>
      </c>
      <c r="C186" s="995" t="s">
        <v>1090</v>
      </c>
      <c r="D186" s="996">
        <v>2824827</v>
      </c>
      <c r="E186" s="996">
        <v>814000</v>
      </c>
      <c r="F186" s="995" t="s">
        <v>1597</v>
      </c>
      <c r="G186" s="995"/>
      <c r="H186" s="997">
        <v>1</v>
      </c>
      <c r="I186" s="998">
        <v>96714</v>
      </c>
      <c r="J186" s="997">
        <v>1</v>
      </c>
      <c r="K186" s="998">
        <v>97000</v>
      </c>
      <c r="L186" s="998"/>
      <c r="M186" s="998"/>
      <c r="N186" s="998"/>
      <c r="O186" s="998"/>
      <c r="P186" s="998"/>
      <c r="Q186" s="998"/>
      <c r="R186" s="998"/>
      <c r="S186" s="998"/>
      <c r="T186" s="998"/>
      <c r="U186" s="998"/>
      <c r="V186" s="997">
        <v>1</v>
      </c>
      <c r="W186" s="998">
        <v>0</v>
      </c>
      <c r="Z186" s="897">
        <v>12448</v>
      </c>
      <c r="AA186" s="897"/>
      <c r="AB186" s="897"/>
    </row>
    <row r="187" spans="1:28" x14ac:dyDescent="0.2">
      <c r="A187" s="1012">
        <v>1</v>
      </c>
      <c r="B187" s="995" t="s">
        <v>1498</v>
      </c>
      <c r="C187" s="995" t="s">
        <v>1453</v>
      </c>
      <c r="D187" s="996">
        <v>30137813</v>
      </c>
      <c r="E187" s="996">
        <v>814000</v>
      </c>
      <c r="F187" s="995" t="s">
        <v>1597</v>
      </c>
      <c r="G187" s="995"/>
      <c r="H187" s="997">
        <v>0.5</v>
      </c>
      <c r="I187" s="998">
        <v>34060</v>
      </c>
      <c r="J187" s="997">
        <v>0.5</v>
      </c>
      <c r="K187" s="998">
        <v>34060</v>
      </c>
      <c r="L187" s="998"/>
      <c r="M187" s="998"/>
      <c r="N187" s="998"/>
      <c r="O187" s="998"/>
      <c r="P187" s="998"/>
      <c r="Q187" s="998"/>
      <c r="R187" s="998"/>
      <c r="S187" s="998"/>
      <c r="T187" s="998"/>
      <c r="U187" s="998"/>
      <c r="V187" s="997">
        <v>0.5</v>
      </c>
      <c r="W187" s="998">
        <v>0</v>
      </c>
      <c r="Z187" s="897"/>
      <c r="AA187" s="897"/>
      <c r="AB187" s="897"/>
    </row>
    <row r="188" spans="1:28" x14ac:dyDescent="0.2">
      <c r="A188" s="1012"/>
      <c r="B188" s="995" t="s">
        <v>1068</v>
      </c>
      <c r="C188" s="995" t="s">
        <v>1545</v>
      </c>
      <c r="D188" s="996">
        <v>2310870</v>
      </c>
      <c r="E188" s="996">
        <v>814001</v>
      </c>
      <c r="F188" s="995" t="s">
        <v>1597</v>
      </c>
      <c r="G188" s="995"/>
      <c r="H188" s="997">
        <v>0.16</v>
      </c>
      <c r="I188" s="998">
        <f>16488+4000</f>
        <v>20488</v>
      </c>
      <c r="J188" s="997">
        <v>0.16</v>
      </c>
      <c r="K188" s="998">
        <v>20488</v>
      </c>
      <c r="L188" s="998"/>
      <c r="M188" s="998"/>
      <c r="N188" s="998"/>
      <c r="O188" s="998"/>
      <c r="P188" s="998"/>
      <c r="Q188" s="998"/>
      <c r="R188" s="998"/>
      <c r="S188" s="998"/>
      <c r="T188" s="998"/>
      <c r="U188" s="998"/>
      <c r="V188" s="997">
        <v>0.16</v>
      </c>
      <c r="W188" s="1015"/>
      <c r="Z188" s="897"/>
      <c r="AA188" s="897"/>
      <c r="AB188" s="897"/>
    </row>
    <row r="189" spans="1:28" s="912" customFormat="1" x14ac:dyDescent="0.2">
      <c r="A189" s="540" t="s">
        <v>1601</v>
      </c>
      <c r="B189" s="484"/>
      <c r="C189" s="484"/>
      <c r="D189" s="485"/>
      <c r="E189" s="485"/>
      <c r="F189" s="484"/>
      <c r="G189" s="484" t="s">
        <v>1603</v>
      </c>
      <c r="H189" s="486">
        <f>SUM(H170:H188)</f>
        <v>10.66</v>
      </c>
      <c r="I189" s="487">
        <f>SUM(I170:I188)</f>
        <v>1071887</v>
      </c>
      <c r="J189" s="932">
        <f>SUM(J170:J188)</f>
        <v>10.66</v>
      </c>
      <c r="K189" s="487">
        <f>SUM(K170:K188)</f>
        <v>1032001</v>
      </c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932">
        <f t="shared" ref="V189" si="11">SUM(V170:V188)</f>
        <v>10.66</v>
      </c>
      <c r="W189" s="487">
        <f>SUM(W170:W188)</f>
        <v>727904</v>
      </c>
      <c r="Z189" s="897"/>
      <c r="AA189" s="897"/>
      <c r="AB189" s="897"/>
    </row>
    <row r="190" spans="1:28" x14ac:dyDescent="0.2">
      <c r="A190" s="542">
        <v>1</v>
      </c>
      <c r="B190" s="374" t="s">
        <v>1602</v>
      </c>
      <c r="C190" s="374" t="s">
        <v>1509</v>
      </c>
      <c r="D190" s="435">
        <v>9999999</v>
      </c>
      <c r="E190" s="435">
        <v>815200</v>
      </c>
      <c r="F190" s="374" t="s">
        <v>1230</v>
      </c>
      <c r="G190" s="995"/>
      <c r="H190" s="997"/>
      <c r="I190" s="998">
        <v>695695</v>
      </c>
      <c r="J190" s="997"/>
      <c r="K190" s="998">
        <v>800000</v>
      </c>
      <c r="L190" s="998"/>
      <c r="M190" s="998"/>
      <c r="N190" s="998"/>
      <c r="O190" s="998"/>
      <c r="P190" s="998"/>
      <c r="Q190" s="998"/>
      <c r="R190" s="998"/>
      <c r="S190" s="998"/>
      <c r="T190" s="998"/>
      <c r="U190" s="998"/>
      <c r="V190" s="997">
        <v>0</v>
      </c>
      <c r="W190" s="998">
        <v>0</v>
      </c>
      <c r="Z190" s="897"/>
      <c r="AA190" s="897"/>
      <c r="AB190" s="897"/>
    </row>
    <row r="191" spans="1:28" s="912" customFormat="1" x14ac:dyDescent="0.2">
      <c r="A191" s="540" t="s">
        <v>1604</v>
      </c>
      <c r="B191" s="484"/>
      <c r="C191" s="484"/>
      <c r="D191" s="485"/>
      <c r="E191" s="485"/>
      <c r="F191" s="484"/>
      <c r="G191" s="484"/>
      <c r="H191" s="486">
        <v>73.650000000000006</v>
      </c>
      <c r="I191" s="487">
        <f>SUM(I190)</f>
        <v>695695</v>
      </c>
      <c r="J191" s="487"/>
      <c r="K191" s="487">
        <f>SUM(K190)</f>
        <v>800000</v>
      </c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>
        <v>0.5</v>
      </c>
      <c r="W191" s="487">
        <f t="shared" ref="W191" si="12">SUM(W190)</f>
        <v>0</v>
      </c>
      <c r="Z191" s="897"/>
      <c r="AA191" s="897"/>
      <c r="AB191" s="897"/>
    </row>
    <row r="192" spans="1:28" x14ac:dyDescent="0.2">
      <c r="A192" s="542">
        <v>1</v>
      </c>
      <c r="B192" s="374" t="s">
        <v>1479</v>
      </c>
      <c r="C192" s="374" t="s">
        <v>1845</v>
      </c>
      <c r="D192" s="435">
        <v>5763021</v>
      </c>
      <c r="E192" s="435">
        <v>817100</v>
      </c>
      <c r="F192" s="374" t="s">
        <v>1605</v>
      </c>
      <c r="G192" s="374"/>
      <c r="H192" s="466">
        <v>0.5</v>
      </c>
      <c r="I192" s="439">
        <v>34569</v>
      </c>
      <c r="J192" s="466">
        <v>0.5</v>
      </c>
      <c r="K192" s="439">
        <v>60000</v>
      </c>
      <c r="L192" s="439"/>
      <c r="M192" s="439"/>
      <c r="N192" s="439"/>
      <c r="O192" s="439"/>
      <c r="P192" s="439"/>
      <c r="Q192" s="439"/>
      <c r="R192" s="439"/>
      <c r="S192" s="439"/>
      <c r="T192" s="439"/>
      <c r="U192" s="439"/>
      <c r="V192" s="466">
        <v>0.5</v>
      </c>
      <c r="W192" s="439">
        <v>60000</v>
      </c>
      <c r="Z192" s="897"/>
      <c r="AA192" s="897"/>
      <c r="AB192" s="897"/>
    </row>
    <row r="193" spans="1:28" s="912" customFormat="1" x14ac:dyDescent="0.2">
      <c r="A193" s="540" t="s">
        <v>1606</v>
      </c>
      <c r="B193" s="484"/>
      <c r="C193" s="484"/>
      <c r="D193" s="485"/>
      <c r="E193" s="485"/>
      <c r="F193" s="484"/>
      <c r="G193" s="484"/>
      <c r="H193" s="486">
        <v>0.5</v>
      </c>
      <c r="I193" s="487">
        <f>SUM(I192)</f>
        <v>34569</v>
      </c>
      <c r="J193" s="932">
        <f>SUM(J192)</f>
        <v>0.5</v>
      </c>
      <c r="K193" s="487">
        <f>SUM(K192)</f>
        <v>60000</v>
      </c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932">
        <f>SUM(V192)</f>
        <v>0.5</v>
      </c>
      <c r="W193" s="487">
        <f t="shared" ref="W193" si="13">SUM(W192)</f>
        <v>60000</v>
      </c>
      <c r="Z193" s="897"/>
      <c r="AA193" s="897"/>
      <c r="AB193" s="897"/>
    </row>
    <row r="194" spans="1:28" x14ac:dyDescent="0.2">
      <c r="A194" s="926">
        <v>1</v>
      </c>
      <c r="B194" s="374" t="s">
        <v>1403</v>
      </c>
      <c r="C194" s="374" t="s">
        <v>1509</v>
      </c>
      <c r="D194" s="435">
        <v>9999999</v>
      </c>
      <c r="E194" s="435">
        <v>817120</v>
      </c>
      <c r="F194" s="374" t="s">
        <v>1607</v>
      </c>
      <c r="G194" s="374"/>
      <c r="H194" s="466"/>
      <c r="I194" s="439">
        <v>40036</v>
      </c>
      <c r="J194" s="466"/>
      <c r="K194" s="439">
        <v>46000</v>
      </c>
      <c r="L194" s="439"/>
      <c r="M194" s="439"/>
      <c r="N194" s="439"/>
      <c r="O194" s="439"/>
      <c r="P194" s="439"/>
      <c r="Q194" s="439"/>
      <c r="R194" s="439"/>
      <c r="S194" s="439"/>
      <c r="T194" s="439"/>
      <c r="U194" s="439"/>
      <c r="V194" s="466"/>
      <c r="W194" s="439">
        <v>46000</v>
      </c>
      <c r="Z194" s="897">
        <v>44035</v>
      </c>
      <c r="AA194" s="897"/>
      <c r="AB194" s="897"/>
    </row>
    <row r="195" spans="1:28" s="912" customFormat="1" x14ac:dyDescent="0.2">
      <c r="A195" s="540" t="s">
        <v>1840</v>
      </c>
      <c r="B195" s="484"/>
      <c r="C195" s="484"/>
      <c r="D195" s="485"/>
      <c r="E195" s="485"/>
      <c r="F195" s="484"/>
      <c r="G195" s="484"/>
      <c r="H195" s="486"/>
      <c r="I195" s="487">
        <f>SUM(I194)</f>
        <v>40036</v>
      </c>
      <c r="J195" s="487">
        <f t="shared" ref="J195:W195" si="14">SUM(J194)</f>
        <v>0</v>
      </c>
      <c r="K195" s="487">
        <f t="shared" si="14"/>
        <v>46000</v>
      </c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>
        <f t="shared" si="14"/>
        <v>0</v>
      </c>
      <c r="W195" s="487">
        <f t="shared" si="14"/>
        <v>46000</v>
      </c>
      <c r="Z195" s="897"/>
      <c r="AA195" s="897"/>
      <c r="AB195" s="897"/>
    </row>
    <row r="196" spans="1:28" x14ac:dyDescent="0.2">
      <c r="A196" s="542">
        <v>1</v>
      </c>
      <c r="B196" s="374" t="s">
        <v>990</v>
      </c>
      <c r="C196" s="374" t="s">
        <v>1608</v>
      </c>
      <c r="D196" s="435">
        <v>2587620</v>
      </c>
      <c r="E196" s="435">
        <v>817200</v>
      </c>
      <c r="F196" s="374" t="s">
        <v>1609</v>
      </c>
      <c r="G196" s="374"/>
      <c r="H196" s="466">
        <v>0.5</v>
      </c>
      <c r="I196" s="439">
        <v>47734</v>
      </c>
      <c r="J196" s="466">
        <v>0.5</v>
      </c>
      <c r="K196" s="439">
        <v>48000</v>
      </c>
      <c r="L196" s="439"/>
      <c r="M196" s="439"/>
      <c r="N196" s="439"/>
      <c r="O196" s="439"/>
      <c r="P196" s="439"/>
      <c r="Q196" s="439"/>
      <c r="R196" s="439"/>
      <c r="S196" s="439"/>
      <c r="T196" s="439"/>
      <c r="U196" s="439"/>
      <c r="V196" s="466">
        <v>0.5</v>
      </c>
      <c r="W196" s="439">
        <v>48000</v>
      </c>
      <c r="Z196" s="897">
        <v>46104</v>
      </c>
      <c r="AA196" s="897"/>
      <c r="AB196" s="897"/>
    </row>
    <row r="197" spans="1:28" s="912" customFormat="1" x14ac:dyDescent="0.2">
      <c r="A197" s="540" t="s">
        <v>1610</v>
      </c>
      <c r="B197" s="484"/>
      <c r="C197" s="484"/>
      <c r="D197" s="485"/>
      <c r="E197" s="485"/>
      <c r="F197" s="484"/>
      <c r="G197" s="484"/>
      <c r="H197" s="486">
        <f>SUM(H196)</f>
        <v>0.5</v>
      </c>
      <c r="I197" s="487">
        <f t="shared" ref="I197:W197" si="15">SUM(I196)</f>
        <v>47734</v>
      </c>
      <c r="J197" s="932">
        <v>0.5</v>
      </c>
      <c r="K197" s="487">
        <f t="shared" si="15"/>
        <v>48000</v>
      </c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932">
        <f t="shared" si="15"/>
        <v>0.5</v>
      </c>
      <c r="W197" s="487">
        <f t="shared" si="15"/>
        <v>48000</v>
      </c>
      <c r="Z197" s="897">
        <v>42885</v>
      </c>
      <c r="AA197" s="897"/>
      <c r="AB197" s="897"/>
    </row>
    <row r="198" spans="1:28" x14ac:dyDescent="0.2">
      <c r="A198" s="542">
        <v>1</v>
      </c>
      <c r="B198" s="374" t="s">
        <v>1611</v>
      </c>
      <c r="C198" s="374" t="s">
        <v>1612</v>
      </c>
      <c r="D198" s="435">
        <v>2160044</v>
      </c>
      <c r="E198" s="435">
        <v>817300</v>
      </c>
      <c r="F198" s="374" t="s">
        <v>1613</v>
      </c>
      <c r="G198" s="995" t="s">
        <v>1614</v>
      </c>
      <c r="H198" s="997">
        <v>0.5</v>
      </c>
      <c r="I198" s="998">
        <v>46103</v>
      </c>
      <c r="J198" s="997">
        <v>0.5</v>
      </c>
      <c r="K198" s="998">
        <v>66000</v>
      </c>
      <c r="L198" s="998"/>
      <c r="M198" s="998"/>
      <c r="N198" s="998"/>
      <c r="O198" s="998"/>
      <c r="P198" s="998"/>
      <c r="Q198" s="998"/>
      <c r="R198" s="998"/>
      <c r="S198" s="998"/>
      <c r="T198" s="998"/>
      <c r="U198" s="998"/>
      <c r="V198" s="997">
        <v>0.5</v>
      </c>
      <c r="W198" s="439">
        <v>70000</v>
      </c>
      <c r="Z198" s="897">
        <v>63981</v>
      </c>
      <c r="AA198" s="897"/>
      <c r="AB198" s="897"/>
    </row>
    <row r="199" spans="1:28" x14ac:dyDescent="0.2">
      <c r="A199" s="542">
        <v>1</v>
      </c>
      <c r="B199" s="374" t="s">
        <v>1615</v>
      </c>
      <c r="C199" s="374" t="s">
        <v>1387</v>
      </c>
      <c r="D199" s="435">
        <v>2982886</v>
      </c>
      <c r="E199" s="435">
        <v>817300</v>
      </c>
      <c r="F199" s="374" t="s">
        <v>1613</v>
      </c>
      <c r="G199" s="995" t="s">
        <v>1614</v>
      </c>
      <c r="H199" s="997">
        <v>0.5</v>
      </c>
      <c r="I199" s="998">
        <v>42885</v>
      </c>
      <c r="J199" s="997">
        <v>0.5</v>
      </c>
      <c r="K199" s="998">
        <v>70000</v>
      </c>
      <c r="L199" s="998"/>
      <c r="M199" s="998"/>
      <c r="N199" s="998"/>
      <c r="O199" s="998"/>
      <c r="P199" s="998"/>
      <c r="Q199" s="998"/>
      <c r="R199" s="998"/>
      <c r="S199" s="998"/>
      <c r="T199" s="998"/>
      <c r="U199" s="998"/>
      <c r="V199" s="997">
        <v>0.5</v>
      </c>
      <c r="W199" s="439">
        <v>60000</v>
      </c>
      <c r="Z199" s="897">
        <v>32891</v>
      </c>
      <c r="AA199" s="897"/>
      <c r="AB199" s="897"/>
    </row>
    <row r="200" spans="1:28" x14ac:dyDescent="0.2">
      <c r="A200" s="542">
        <v>1</v>
      </c>
      <c r="B200" s="374" t="s">
        <v>1616</v>
      </c>
      <c r="C200" s="374" t="s">
        <v>1617</v>
      </c>
      <c r="D200" s="435">
        <v>3290212</v>
      </c>
      <c r="E200" s="435">
        <v>817300</v>
      </c>
      <c r="F200" s="374" t="s">
        <v>1613</v>
      </c>
      <c r="G200" s="995" t="s">
        <v>1614</v>
      </c>
      <c r="H200" s="997">
        <v>0.5</v>
      </c>
      <c r="I200" s="998">
        <v>69722</v>
      </c>
      <c r="J200" s="997">
        <v>0.5</v>
      </c>
      <c r="K200" s="998">
        <v>60000</v>
      </c>
      <c r="L200" s="998"/>
      <c r="M200" s="998"/>
      <c r="N200" s="998"/>
      <c r="O200" s="998"/>
      <c r="P200" s="998"/>
      <c r="Q200" s="998"/>
      <c r="R200" s="998"/>
      <c r="S200" s="998"/>
      <c r="T200" s="998"/>
      <c r="U200" s="998"/>
      <c r="V200" s="997">
        <v>0.5</v>
      </c>
      <c r="W200" s="439">
        <v>170000</v>
      </c>
      <c r="Z200" s="897">
        <v>161189</v>
      </c>
      <c r="AA200" s="897"/>
      <c r="AB200" s="897"/>
    </row>
    <row r="201" spans="1:28" x14ac:dyDescent="0.2">
      <c r="A201" s="542">
        <v>1</v>
      </c>
      <c r="B201" s="374" t="s">
        <v>1618</v>
      </c>
      <c r="C201" s="374" t="s">
        <v>1619</v>
      </c>
      <c r="D201" s="435">
        <v>20046294</v>
      </c>
      <c r="E201" s="435">
        <v>817300</v>
      </c>
      <c r="F201" s="374" t="s">
        <v>1613</v>
      </c>
      <c r="G201" s="995" t="s">
        <v>1614</v>
      </c>
      <c r="H201" s="997">
        <v>0.4</v>
      </c>
      <c r="I201" s="998">
        <v>32890</v>
      </c>
      <c r="J201" s="997">
        <v>0.75</v>
      </c>
      <c r="K201" s="998">
        <v>170000</v>
      </c>
      <c r="L201" s="998"/>
      <c r="M201" s="998"/>
      <c r="N201" s="998"/>
      <c r="O201" s="998"/>
      <c r="P201" s="998"/>
      <c r="Q201" s="998"/>
      <c r="R201" s="998"/>
      <c r="S201" s="998"/>
      <c r="T201" s="998"/>
      <c r="U201" s="998"/>
      <c r="V201" s="997">
        <v>0.75</v>
      </c>
      <c r="W201" s="439">
        <v>81000</v>
      </c>
      <c r="Z201" s="897">
        <v>75689</v>
      </c>
      <c r="AA201" s="897"/>
      <c r="AB201" s="897"/>
    </row>
    <row r="202" spans="1:28" x14ac:dyDescent="0.2">
      <c r="A202" s="542">
        <v>1</v>
      </c>
      <c r="B202" s="374" t="s">
        <v>1620</v>
      </c>
      <c r="C202" s="374" t="s">
        <v>1621</v>
      </c>
      <c r="D202" s="435">
        <v>5702429</v>
      </c>
      <c r="E202" s="435">
        <v>817300</v>
      </c>
      <c r="F202" s="374" t="s">
        <v>1613</v>
      </c>
      <c r="G202" s="995" t="s">
        <v>1841</v>
      </c>
      <c r="H202" s="997">
        <v>0.75</v>
      </c>
      <c r="I202" s="998">
        <v>175590</v>
      </c>
      <c r="J202" s="997">
        <v>0.75</v>
      </c>
      <c r="K202" s="998">
        <v>81000</v>
      </c>
      <c r="L202" s="998"/>
      <c r="M202" s="998"/>
      <c r="N202" s="998"/>
      <c r="O202" s="998"/>
      <c r="P202" s="998"/>
      <c r="Q202" s="998"/>
      <c r="R202" s="998"/>
      <c r="S202" s="998"/>
      <c r="T202" s="998"/>
      <c r="U202" s="998"/>
      <c r="V202" s="997">
        <v>0.75</v>
      </c>
      <c r="W202" s="439">
        <v>64000</v>
      </c>
      <c r="Z202" s="897">
        <v>42260</v>
      </c>
      <c r="AA202" s="897"/>
      <c r="AB202" s="897"/>
    </row>
    <row r="203" spans="1:28" x14ac:dyDescent="0.2">
      <c r="A203" s="542">
        <v>1</v>
      </c>
      <c r="B203" s="374" t="s">
        <v>1068</v>
      </c>
      <c r="C203" s="374" t="s">
        <v>1622</v>
      </c>
      <c r="D203" s="435">
        <v>5944901</v>
      </c>
      <c r="E203" s="435">
        <v>817300</v>
      </c>
      <c r="F203" s="374" t="s">
        <v>1613</v>
      </c>
      <c r="G203" s="995" t="s">
        <v>1614</v>
      </c>
      <c r="H203" s="997">
        <v>0.75</v>
      </c>
      <c r="I203" s="998">
        <v>81807</v>
      </c>
      <c r="J203" s="997">
        <v>0.5</v>
      </c>
      <c r="K203" s="998">
        <v>64000</v>
      </c>
      <c r="L203" s="998"/>
      <c r="M203" s="998"/>
      <c r="N203" s="998"/>
      <c r="O203" s="998"/>
      <c r="P203" s="998"/>
      <c r="Q203" s="998"/>
      <c r="R203" s="998"/>
      <c r="S203" s="998"/>
      <c r="T203" s="998"/>
      <c r="U203" s="998"/>
      <c r="V203" s="997">
        <v>0.5</v>
      </c>
      <c r="W203" s="439">
        <v>66000</v>
      </c>
      <c r="Z203" s="897">
        <v>43615</v>
      </c>
      <c r="AA203" s="897"/>
      <c r="AB203" s="897"/>
    </row>
    <row r="204" spans="1:28" x14ac:dyDescent="0.2">
      <c r="A204" s="542">
        <v>1</v>
      </c>
      <c r="B204" s="374" t="s">
        <v>1623</v>
      </c>
      <c r="C204" s="374" t="s">
        <v>1624</v>
      </c>
      <c r="D204" s="435">
        <v>20060908</v>
      </c>
      <c r="E204" s="435">
        <v>817300</v>
      </c>
      <c r="F204" s="374" t="s">
        <v>1613</v>
      </c>
      <c r="G204" s="995" t="s">
        <v>1614</v>
      </c>
      <c r="H204" s="997">
        <v>0.5</v>
      </c>
      <c r="I204" s="998">
        <v>42260</v>
      </c>
      <c r="J204" s="997">
        <v>0.5</v>
      </c>
      <c r="K204" s="998">
        <v>66000</v>
      </c>
      <c r="L204" s="998"/>
      <c r="M204" s="998"/>
      <c r="N204" s="998"/>
      <c r="O204" s="998"/>
      <c r="P204" s="998"/>
      <c r="Q204" s="998"/>
      <c r="R204" s="998"/>
      <c r="S204" s="998"/>
      <c r="T204" s="998"/>
      <c r="U204" s="998"/>
      <c r="V204" s="997">
        <v>0.5</v>
      </c>
      <c r="W204" s="439">
        <v>68000</v>
      </c>
      <c r="Z204" s="897">
        <v>17359</v>
      </c>
      <c r="AA204" s="897"/>
      <c r="AB204" s="897"/>
    </row>
    <row r="205" spans="1:28" x14ac:dyDescent="0.2">
      <c r="A205" s="542">
        <v>1</v>
      </c>
      <c r="B205" s="374" t="s">
        <v>1625</v>
      </c>
      <c r="C205" s="374" t="s">
        <v>1507</v>
      </c>
      <c r="D205" s="435">
        <v>6604546</v>
      </c>
      <c r="E205" s="435">
        <v>817300</v>
      </c>
      <c r="F205" s="374" t="s">
        <v>1613</v>
      </c>
      <c r="G205" s="995" t="s">
        <v>1614</v>
      </c>
      <c r="H205" s="997">
        <v>0.5</v>
      </c>
      <c r="I205" s="998">
        <v>43615</v>
      </c>
      <c r="J205" s="997">
        <v>0.6</v>
      </c>
      <c r="K205" s="998">
        <v>68000</v>
      </c>
      <c r="L205" s="998"/>
      <c r="M205" s="998"/>
      <c r="N205" s="998"/>
      <c r="O205" s="998"/>
      <c r="P205" s="998"/>
      <c r="Q205" s="998"/>
      <c r="R205" s="998"/>
      <c r="S205" s="998"/>
      <c r="T205" s="998"/>
      <c r="U205" s="998"/>
      <c r="V205" s="997">
        <v>0.6</v>
      </c>
      <c r="W205" s="439">
        <v>69000</v>
      </c>
      <c r="Z205" s="897"/>
      <c r="AA205" s="897"/>
      <c r="AB205" s="897"/>
    </row>
    <row r="206" spans="1:28" x14ac:dyDescent="0.2">
      <c r="A206" s="542"/>
      <c r="B206" s="374" t="s">
        <v>943</v>
      </c>
      <c r="C206" s="374" t="s">
        <v>1539</v>
      </c>
      <c r="D206" s="435">
        <v>20055794</v>
      </c>
      <c r="E206" s="435">
        <v>817300</v>
      </c>
      <c r="F206" s="374" t="s">
        <v>1613</v>
      </c>
      <c r="G206" s="995" t="s">
        <v>981</v>
      </c>
      <c r="H206" s="997">
        <v>0.2</v>
      </c>
      <c r="I206" s="998">
        <v>21600</v>
      </c>
      <c r="J206" s="997"/>
      <c r="K206" s="998"/>
      <c r="L206" s="998"/>
      <c r="M206" s="998"/>
      <c r="N206" s="998"/>
      <c r="O206" s="998"/>
      <c r="P206" s="998"/>
      <c r="Q206" s="998"/>
      <c r="R206" s="998"/>
      <c r="S206" s="998"/>
      <c r="T206" s="998"/>
      <c r="U206" s="998"/>
      <c r="V206" s="997"/>
      <c r="W206" s="998">
        <v>0</v>
      </c>
      <c r="X206" s="909"/>
      <c r="Z206" s="897">
        <v>69331</v>
      </c>
      <c r="AA206" s="897"/>
      <c r="AB206" s="897"/>
    </row>
    <row r="207" spans="1:28" x14ac:dyDescent="0.2">
      <c r="A207" s="542"/>
      <c r="B207" s="374" t="s">
        <v>1842</v>
      </c>
      <c r="C207" s="374" t="s">
        <v>1509</v>
      </c>
      <c r="D207" s="435">
        <v>9999999</v>
      </c>
      <c r="E207" s="435">
        <v>817300</v>
      </c>
      <c r="F207" s="374" t="s">
        <v>1613</v>
      </c>
      <c r="G207" s="995" t="s">
        <v>1614</v>
      </c>
      <c r="H207" s="997">
        <v>0.5</v>
      </c>
      <c r="I207" s="998">
        <f>16984+19018+9090+8788+18466</f>
        <v>72346</v>
      </c>
      <c r="J207" s="997"/>
      <c r="K207" s="998"/>
      <c r="L207" s="998"/>
      <c r="M207" s="998"/>
      <c r="N207" s="998"/>
      <c r="O207" s="998"/>
      <c r="P207" s="998"/>
      <c r="Q207" s="998"/>
      <c r="R207" s="998"/>
      <c r="S207" s="998"/>
      <c r="T207" s="998"/>
      <c r="U207" s="998"/>
      <c r="V207" s="997"/>
      <c r="W207" s="998"/>
      <c r="X207" s="909"/>
      <c r="Z207" s="897"/>
      <c r="AA207" s="897"/>
      <c r="AB207" s="897"/>
    </row>
    <row r="208" spans="1:28" x14ac:dyDescent="0.2">
      <c r="A208" s="542"/>
      <c r="B208" s="374" t="s">
        <v>1052</v>
      </c>
      <c r="C208" s="374" t="s">
        <v>1843</v>
      </c>
      <c r="D208" s="435">
        <v>5054026</v>
      </c>
      <c r="E208" s="435">
        <v>817300</v>
      </c>
      <c r="F208" s="374" t="s">
        <v>1613</v>
      </c>
      <c r="G208" s="995" t="s">
        <v>981</v>
      </c>
      <c r="H208" s="997">
        <v>0.5</v>
      </c>
      <c r="I208" s="998">
        <v>71608</v>
      </c>
      <c r="J208" s="997">
        <v>0.5</v>
      </c>
      <c r="K208" s="998">
        <v>71608</v>
      </c>
      <c r="L208" s="998"/>
      <c r="M208" s="998"/>
      <c r="N208" s="998"/>
      <c r="O208" s="998"/>
      <c r="P208" s="998"/>
      <c r="Q208" s="998"/>
      <c r="R208" s="998"/>
      <c r="S208" s="998"/>
      <c r="T208" s="998"/>
      <c r="U208" s="998"/>
      <c r="V208" s="997">
        <v>0.5</v>
      </c>
      <c r="W208" s="439">
        <v>71700</v>
      </c>
      <c r="X208" s="909"/>
      <c r="Z208" s="897"/>
      <c r="AA208" s="897"/>
      <c r="AB208" s="897"/>
    </row>
    <row r="209" spans="1:28" s="912" customFormat="1" x14ac:dyDescent="0.2">
      <c r="A209" s="540" t="s">
        <v>1626</v>
      </c>
      <c r="B209" s="484"/>
      <c r="C209" s="484"/>
      <c r="D209" s="485"/>
      <c r="E209" s="485"/>
      <c r="F209" s="484"/>
      <c r="G209" s="484"/>
      <c r="H209" s="486">
        <f>SUM(H198:H208)</f>
        <v>5.6000000000000005</v>
      </c>
      <c r="I209" s="487">
        <f>SUM(I198:I208)</f>
        <v>700426</v>
      </c>
      <c r="J209" s="932">
        <f>SUM(J198:J208)</f>
        <v>5.0999999999999996</v>
      </c>
      <c r="K209" s="487">
        <f t="shared" ref="K209:W209" si="16">SUM(K198:K208)</f>
        <v>716608</v>
      </c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932">
        <f t="shared" si="16"/>
        <v>5.0999999999999996</v>
      </c>
      <c r="W209" s="487">
        <f t="shared" si="16"/>
        <v>719700</v>
      </c>
      <c r="Z209" s="897">
        <v>87602</v>
      </c>
      <c r="AA209" s="897"/>
      <c r="AB209" s="897"/>
    </row>
    <row r="210" spans="1:28" x14ac:dyDescent="0.2">
      <c r="A210" s="1012"/>
      <c r="B210" s="995" t="s">
        <v>1401</v>
      </c>
      <c r="C210" s="995" t="s">
        <v>1400</v>
      </c>
      <c r="D210" s="996">
        <v>5078925</v>
      </c>
      <c r="E210" s="996">
        <v>817600</v>
      </c>
      <c r="F210" s="995" t="s">
        <v>1627</v>
      </c>
      <c r="G210" s="995"/>
      <c r="H210" s="997"/>
      <c r="I210" s="998"/>
      <c r="J210" s="997"/>
      <c r="K210" s="998">
        <v>35000</v>
      </c>
      <c r="L210" s="998"/>
      <c r="M210" s="998"/>
      <c r="N210" s="998"/>
      <c r="O210" s="998"/>
      <c r="P210" s="998"/>
      <c r="Q210" s="998"/>
      <c r="R210" s="998"/>
      <c r="S210" s="998"/>
      <c r="T210" s="998"/>
      <c r="U210" s="998"/>
      <c r="V210" s="997"/>
      <c r="W210" s="998">
        <v>0</v>
      </c>
      <c r="X210" s="12"/>
      <c r="Z210" s="208"/>
      <c r="AA210" s="897"/>
      <c r="AB210" s="897"/>
    </row>
    <row r="211" spans="1:28" x14ac:dyDescent="0.2">
      <c r="A211" s="1012">
        <v>1</v>
      </c>
      <c r="B211" s="995" t="s">
        <v>1430</v>
      </c>
      <c r="C211" s="995" t="s">
        <v>1431</v>
      </c>
      <c r="D211" s="996">
        <v>20440824</v>
      </c>
      <c r="E211" s="996">
        <v>817600</v>
      </c>
      <c r="F211" s="995" t="s">
        <v>1627</v>
      </c>
      <c r="G211" s="995" t="s">
        <v>1484</v>
      </c>
      <c r="H211" s="997">
        <v>0.2</v>
      </c>
      <c r="I211" s="998">
        <f>17452+9027+3328</f>
        <v>29807</v>
      </c>
      <c r="J211" s="997">
        <v>0.2</v>
      </c>
      <c r="K211" s="998">
        <v>30000</v>
      </c>
      <c r="L211" s="998"/>
      <c r="M211" s="998"/>
      <c r="N211" s="998"/>
      <c r="O211" s="998"/>
      <c r="P211" s="998"/>
      <c r="Q211" s="998"/>
      <c r="R211" s="998"/>
      <c r="S211" s="998"/>
      <c r="T211" s="998"/>
      <c r="U211" s="998"/>
      <c r="V211" s="997">
        <v>0.2</v>
      </c>
      <c r="W211" s="998">
        <v>30000</v>
      </c>
      <c r="X211" s="12"/>
      <c r="Z211" s="208">
        <v>32479</v>
      </c>
      <c r="AA211" s="897"/>
      <c r="AB211" s="897"/>
    </row>
    <row r="212" spans="1:28" x14ac:dyDescent="0.2">
      <c r="A212" s="1012">
        <v>1</v>
      </c>
      <c r="B212" s="995" t="s">
        <v>975</v>
      </c>
      <c r="C212" s="995" t="s">
        <v>1396</v>
      </c>
      <c r="D212" s="996">
        <v>5250803</v>
      </c>
      <c r="E212" s="996">
        <v>817600</v>
      </c>
      <c r="F212" s="995" t="s">
        <v>1627</v>
      </c>
      <c r="G212" s="995" t="s">
        <v>1422</v>
      </c>
      <c r="H212" s="997">
        <v>1</v>
      </c>
      <c r="I212" s="998">
        <v>95105</v>
      </c>
      <c r="J212" s="997">
        <v>1</v>
      </c>
      <c r="K212" s="998">
        <v>95106</v>
      </c>
      <c r="L212" s="998"/>
      <c r="M212" s="998"/>
      <c r="N212" s="998"/>
      <c r="O212" s="998"/>
      <c r="P212" s="998"/>
      <c r="Q212" s="998"/>
      <c r="R212" s="998"/>
      <c r="S212" s="998"/>
      <c r="T212" s="998"/>
      <c r="U212" s="998"/>
      <c r="V212" s="997">
        <v>1</v>
      </c>
      <c r="W212" s="998">
        <v>95106</v>
      </c>
      <c r="Z212" s="897"/>
      <c r="AA212" s="897"/>
      <c r="AB212" s="897"/>
    </row>
    <row r="213" spans="1:28" x14ac:dyDescent="0.2">
      <c r="A213" s="994">
        <v>1</v>
      </c>
      <c r="B213" s="995" t="s">
        <v>1459</v>
      </c>
      <c r="C213" s="995" t="s">
        <v>1460</v>
      </c>
      <c r="D213" s="996">
        <v>5703154</v>
      </c>
      <c r="E213" s="996">
        <v>812201</v>
      </c>
      <c r="F213" s="995" t="s">
        <v>1627</v>
      </c>
      <c r="G213" s="995"/>
      <c r="H213" s="997">
        <v>0.83</v>
      </c>
      <c r="I213" s="998">
        <v>75274</v>
      </c>
      <c r="J213" s="997">
        <v>0.83</v>
      </c>
      <c r="K213" s="998">
        <v>75215</v>
      </c>
      <c r="L213" s="998"/>
      <c r="M213" s="998"/>
      <c r="N213" s="998"/>
      <c r="O213" s="998"/>
      <c r="P213" s="998"/>
      <c r="Q213" s="998"/>
      <c r="R213" s="998"/>
      <c r="S213" s="998"/>
      <c r="T213" s="998"/>
      <c r="U213" s="998"/>
      <c r="V213" s="997">
        <v>0.83</v>
      </c>
      <c r="W213" s="998">
        <v>75215</v>
      </c>
      <c r="Z213" s="897">
        <v>62807</v>
      </c>
      <c r="AA213" s="897"/>
      <c r="AB213" s="897"/>
    </row>
    <row r="214" spans="1:28" s="912" customFormat="1" x14ac:dyDescent="0.2">
      <c r="A214" s="540" t="s">
        <v>1628</v>
      </c>
      <c r="B214" s="484"/>
      <c r="C214" s="484"/>
      <c r="D214" s="485"/>
      <c r="E214" s="485"/>
      <c r="F214" s="484"/>
      <c r="G214" s="484"/>
      <c r="H214" s="486">
        <f>SUM(H211:H213)</f>
        <v>2.0299999999999998</v>
      </c>
      <c r="I214" s="487">
        <f>SUM(I211:I213)</f>
        <v>200186</v>
      </c>
      <c r="J214" s="932">
        <f>SUM(J211:J213)</f>
        <v>2.0299999999999998</v>
      </c>
      <c r="K214" s="487">
        <f>SUM(K210:K213)</f>
        <v>235321</v>
      </c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932">
        <f>SUM(V211:V213)</f>
        <v>2.0299999999999998</v>
      </c>
      <c r="W214" s="487">
        <f>SUM(W210:W213)</f>
        <v>200321</v>
      </c>
      <c r="Z214" s="897"/>
      <c r="AA214" s="897"/>
      <c r="AB214" s="897"/>
    </row>
    <row r="215" spans="1:28" x14ac:dyDescent="0.2">
      <c r="A215" s="542">
        <v>1</v>
      </c>
      <c r="B215" s="374" t="s">
        <v>975</v>
      </c>
      <c r="C215" s="374" t="s">
        <v>1629</v>
      </c>
      <c r="D215" s="435">
        <v>2635430</v>
      </c>
      <c r="E215" s="435">
        <v>817700</v>
      </c>
      <c r="F215" s="374" t="s">
        <v>1605</v>
      </c>
      <c r="G215" s="374" t="s">
        <v>1630</v>
      </c>
      <c r="H215" s="466">
        <v>0.6</v>
      </c>
      <c r="I215" s="439">
        <v>68200</v>
      </c>
      <c r="J215" s="466">
        <v>0.6</v>
      </c>
      <c r="K215" s="439">
        <v>68200</v>
      </c>
      <c r="L215" s="439"/>
      <c r="M215" s="439"/>
      <c r="N215" s="439"/>
      <c r="O215" s="439"/>
      <c r="P215" s="439"/>
      <c r="Q215" s="439"/>
      <c r="R215" s="439"/>
      <c r="S215" s="439"/>
      <c r="T215" s="439"/>
      <c r="U215" s="439"/>
      <c r="V215" s="466">
        <v>0.6</v>
      </c>
      <c r="W215" s="439">
        <v>68200</v>
      </c>
      <c r="Z215" s="897"/>
      <c r="AA215" s="897"/>
      <c r="AB215" s="897"/>
    </row>
    <row r="216" spans="1:28" x14ac:dyDescent="0.2">
      <c r="A216" s="542">
        <v>1</v>
      </c>
      <c r="B216" s="374" t="s">
        <v>936</v>
      </c>
      <c r="C216" s="374" t="s">
        <v>936</v>
      </c>
      <c r="D216" s="435">
        <v>999999</v>
      </c>
      <c r="E216" s="435">
        <v>817700</v>
      </c>
      <c r="F216" s="374" t="s">
        <v>1605</v>
      </c>
      <c r="G216" s="374" t="s">
        <v>1630</v>
      </c>
      <c r="H216" s="466">
        <v>0</v>
      </c>
      <c r="I216" s="439">
        <v>0</v>
      </c>
      <c r="J216" s="466">
        <v>0.5</v>
      </c>
      <c r="K216" s="439">
        <v>35000</v>
      </c>
      <c r="L216" s="439"/>
      <c r="M216" s="439"/>
      <c r="N216" s="439"/>
      <c r="O216" s="439"/>
      <c r="P216" s="439"/>
      <c r="Q216" s="439"/>
      <c r="R216" s="439"/>
      <c r="S216" s="439"/>
      <c r="T216" s="439"/>
      <c r="U216" s="439"/>
      <c r="V216" s="466">
        <v>0.5</v>
      </c>
      <c r="W216" s="439">
        <v>60000</v>
      </c>
      <c r="Z216" s="897"/>
      <c r="AA216" s="897"/>
      <c r="AB216" s="897"/>
    </row>
    <row r="217" spans="1:28" s="912" customFormat="1" x14ac:dyDescent="0.2">
      <c r="A217" s="540" t="s">
        <v>1631</v>
      </c>
      <c r="B217" s="484"/>
      <c r="C217" s="484"/>
      <c r="D217" s="485"/>
      <c r="E217" s="485"/>
      <c r="F217" s="484"/>
      <c r="G217" s="484"/>
      <c r="H217" s="486">
        <f>SUM(H215:H216)</f>
        <v>0.6</v>
      </c>
      <c r="I217" s="487">
        <f>SUM(I215:I216)</f>
        <v>68200</v>
      </c>
      <c r="J217" s="931">
        <f t="shared" ref="J217:W217" si="17">SUM(J215:J216)</f>
        <v>1.1000000000000001</v>
      </c>
      <c r="K217" s="487">
        <f t="shared" si="17"/>
        <v>103200</v>
      </c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931">
        <f t="shared" si="17"/>
        <v>1.1000000000000001</v>
      </c>
      <c r="W217" s="487">
        <f t="shared" si="17"/>
        <v>128200</v>
      </c>
      <c r="Z217" s="897"/>
      <c r="AA217" s="897"/>
      <c r="AB217" s="897"/>
    </row>
    <row r="218" spans="1:28" x14ac:dyDescent="0.2">
      <c r="A218" s="542">
        <v>1</v>
      </c>
      <c r="B218" s="374" t="s">
        <v>1403</v>
      </c>
      <c r="C218" s="374" t="s">
        <v>1509</v>
      </c>
      <c r="D218" s="435">
        <v>999999999</v>
      </c>
      <c r="E218" s="435">
        <v>817800</v>
      </c>
      <c r="F218" s="374" t="s">
        <v>1632</v>
      </c>
      <c r="G218" s="374"/>
      <c r="H218" s="466">
        <v>0.5</v>
      </c>
      <c r="I218" s="439">
        <v>40442</v>
      </c>
      <c r="J218" s="466">
        <v>4</v>
      </c>
      <c r="K218" s="439">
        <v>172000</v>
      </c>
      <c r="L218" s="439"/>
      <c r="M218" s="439"/>
      <c r="N218" s="439"/>
      <c r="O218" s="439"/>
      <c r="P218" s="439"/>
      <c r="Q218" s="439"/>
      <c r="R218" s="439"/>
      <c r="S218" s="439"/>
      <c r="T218" s="439"/>
      <c r="U218" s="439"/>
      <c r="V218" s="466">
        <v>4</v>
      </c>
      <c r="W218" s="439">
        <v>172000</v>
      </c>
      <c r="Z218" s="897">
        <v>77755</v>
      </c>
      <c r="AA218" s="897"/>
      <c r="AB218" s="897"/>
    </row>
    <row r="219" spans="1:28" s="912" customFormat="1" x14ac:dyDescent="0.2">
      <c r="A219" s="540" t="s">
        <v>1633</v>
      </c>
      <c r="B219" s="484"/>
      <c r="C219" s="484"/>
      <c r="D219" s="485"/>
      <c r="E219" s="485"/>
      <c r="F219" s="484"/>
      <c r="G219" s="484"/>
      <c r="H219" s="486">
        <f>SUM(H218)</f>
        <v>0.5</v>
      </c>
      <c r="I219" s="487">
        <f t="shared" ref="I219:W219" si="18">SUM(I218)</f>
        <v>40442</v>
      </c>
      <c r="J219" s="487">
        <f t="shared" si="18"/>
        <v>4</v>
      </c>
      <c r="K219" s="487">
        <f t="shared" si="18"/>
        <v>172000</v>
      </c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>
        <f t="shared" si="18"/>
        <v>4</v>
      </c>
      <c r="W219" s="487">
        <f t="shared" si="18"/>
        <v>172000</v>
      </c>
      <c r="Z219" s="897">
        <v>50906</v>
      </c>
      <c r="AA219" s="897"/>
      <c r="AB219" s="897"/>
    </row>
    <row r="220" spans="1:28" x14ac:dyDescent="0.2">
      <c r="A220" s="542">
        <v>1</v>
      </c>
      <c r="B220" s="374" t="s">
        <v>939</v>
      </c>
      <c r="C220" s="374" t="s">
        <v>1522</v>
      </c>
      <c r="D220" s="435">
        <v>2346323</v>
      </c>
      <c r="E220" s="435">
        <v>817910</v>
      </c>
      <c r="F220" s="374" t="s">
        <v>1634</v>
      </c>
      <c r="G220" s="374"/>
      <c r="H220" s="466">
        <v>0.75</v>
      </c>
      <c r="I220" s="439">
        <v>84492</v>
      </c>
      <c r="J220" s="466">
        <v>0.75</v>
      </c>
      <c r="K220" s="439">
        <v>85000</v>
      </c>
      <c r="L220" s="439"/>
      <c r="M220" s="439"/>
      <c r="N220" s="439"/>
      <c r="O220" s="439"/>
      <c r="P220" s="439"/>
      <c r="Q220" s="439"/>
      <c r="R220" s="439"/>
      <c r="S220" s="439"/>
      <c r="T220" s="439"/>
      <c r="U220" s="439"/>
      <c r="V220" s="466">
        <v>0.75</v>
      </c>
      <c r="W220" s="439">
        <v>85000</v>
      </c>
      <c r="Z220" s="897"/>
      <c r="AA220" s="897"/>
      <c r="AB220" s="897"/>
    </row>
    <row r="221" spans="1:28" x14ac:dyDescent="0.2">
      <c r="A221" s="542">
        <v>1</v>
      </c>
      <c r="B221" s="374" t="s">
        <v>1005</v>
      </c>
      <c r="C221" s="374" t="s">
        <v>1635</v>
      </c>
      <c r="D221" s="435">
        <v>5443621</v>
      </c>
      <c r="E221" s="435">
        <v>817910</v>
      </c>
      <c r="F221" s="374" t="s">
        <v>1634</v>
      </c>
      <c r="G221" s="374"/>
      <c r="H221" s="466">
        <v>0.5</v>
      </c>
      <c r="I221" s="439">
        <v>55400</v>
      </c>
      <c r="J221" s="466">
        <v>0.5</v>
      </c>
      <c r="K221" s="439">
        <v>55600</v>
      </c>
      <c r="L221" s="439"/>
      <c r="M221" s="439"/>
      <c r="N221" s="439"/>
      <c r="O221" s="439"/>
      <c r="P221" s="439"/>
      <c r="Q221" s="439"/>
      <c r="R221" s="439"/>
      <c r="S221" s="439"/>
      <c r="T221" s="439"/>
      <c r="U221" s="439"/>
      <c r="V221" s="466">
        <v>0.5</v>
      </c>
      <c r="W221" s="439">
        <v>55600</v>
      </c>
      <c r="Z221" s="897">
        <f>196975+1132</f>
        <v>198107</v>
      </c>
      <c r="AA221" s="897"/>
      <c r="AB221" s="897"/>
    </row>
    <row r="222" spans="1:28" s="912" customFormat="1" x14ac:dyDescent="0.2">
      <c r="A222" s="540" t="s">
        <v>1636</v>
      </c>
      <c r="B222" s="484"/>
      <c r="C222" s="484"/>
      <c r="D222" s="485"/>
      <c r="E222" s="485"/>
      <c r="F222" s="484"/>
      <c r="G222" s="484"/>
      <c r="H222" s="486">
        <f t="shared" ref="H222:W222" si="19">SUM(H220:H221)</f>
        <v>1.25</v>
      </c>
      <c r="I222" s="487">
        <f t="shared" si="19"/>
        <v>139892</v>
      </c>
      <c r="J222" s="932">
        <f t="shared" si="19"/>
        <v>1.25</v>
      </c>
      <c r="K222" s="487">
        <f t="shared" si="19"/>
        <v>140600</v>
      </c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932">
        <f t="shared" si="19"/>
        <v>1.25</v>
      </c>
      <c r="W222" s="487">
        <f t="shared" si="19"/>
        <v>140600</v>
      </c>
      <c r="Z222" s="897">
        <f>115397+1075</f>
        <v>116472</v>
      </c>
      <c r="AA222" s="897"/>
      <c r="AB222" s="897"/>
    </row>
    <row r="223" spans="1:28" x14ac:dyDescent="0.2">
      <c r="A223" s="924">
        <v>1</v>
      </c>
      <c r="B223" s="374" t="s">
        <v>924</v>
      </c>
      <c r="C223" s="374" t="s">
        <v>924</v>
      </c>
      <c r="D223" s="435">
        <v>5625888</v>
      </c>
      <c r="E223" s="435">
        <v>819000</v>
      </c>
      <c r="F223" s="374" t="s">
        <v>1038</v>
      </c>
      <c r="G223" s="374" t="s">
        <v>1041</v>
      </c>
      <c r="H223" s="466">
        <v>1</v>
      </c>
      <c r="I223" s="439">
        <v>211662</v>
      </c>
      <c r="J223" s="466">
        <v>1</v>
      </c>
      <c r="K223" s="439">
        <v>212000</v>
      </c>
      <c r="L223" s="439"/>
      <c r="M223" s="439"/>
      <c r="N223" s="439"/>
      <c r="O223" s="439"/>
      <c r="P223" s="439"/>
      <c r="Q223" s="439"/>
      <c r="R223" s="439"/>
      <c r="S223" s="439"/>
      <c r="T223" s="439"/>
      <c r="U223" s="439"/>
      <c r="V223" s="466">
        <v>1</v>
      </c>
      <c r="W223" s="439">
        <v>212000</v>
      </c>
      <c r="Z223" s="897">
        <f>68816+832</f>
        <v>69648</v>
      </c>
      <c r="AA223" s="897"/>
      <c r="AB223" s="897"/>
    </row>
    <row r="224" spans="1:28" x14ac:dyDescent="0.2">
      <c r="A224" s="924">
        <v>1</v>
      </c>
      <c r="B224" s="374" t="s">
        <v>924</v>
      </c>
      <c r="C224" s="374" t="s">
        <v>1040</v>
      </c>
      <c r="D224" s="435">
        <v>6287487</v>
      </c>
      <c r="E224" s="435">
        <v>819000</v>
      </c>
      <c r="F224" s="374" t="s">
        <v>1038</v>
      </c>
      <c r="G224" s="374" t="s">
        <v>1044</v>
      </c>
      <c r="H224" s="466">
        <v>1</v>
      </c>
      <c r="I224" s="439">
        <v>125210</v>
      </c>
      <c r="J224" s="466">
        <v>1</v>
      </c>
      <c r="K224" s="439">
        <v>126000</v>
      </c>
      <c r="L224" s="439"/>
      <c r="M224" s="439"/>
      <c r="N224" s="439"/>
      <c r="O224" s="439"/>
      <c r="P224" s="439"/>
      <c r="Q224" s="439"/>
      <c r="R224" s="439"/>
      <c r="S224" s="439"/>
      <c r="T224" s="439"/>
      <c r="U224" s="439"/>
      <c r="V224" s="466">
        <v>1</v>
      </c>
      <c r="W224" s="439">
        <v>126000</v>
      </c>
      <c r="Z224" s="897"/>
      <c r="AA224" s="897"/>
      <c r="AB224" s="897"/>
    </row>
    <row r="225" spans="1:28" x14ac:dyDescent="0.2">
      <c r="A225" s="924">
        <v>1</v>
      </c>
      <c r="B225" s="374" t="s">
        <v>1045</v>
      </c>
      <c r="C225" s="374" t="s">
        <v>1046</v>
      </c>
      <c r="D225" s="435">
        <v>3981145</v>
      </c>
      <c r="E225" s="435">
        <v>819000</v>
      </c>
      <c r="F225" s="374" t="s">
        <v>1038</v>
      </c>
      <c r="G225" s="374"/>
      <c r="H225" s="466">
        <v>0.75</v>
      </c>
      <c r="I225" s="439">
        <v>74315</v>
      </c>
      <c r="J225" s="466">
        <v>0.75</v>
      </c>
      <c r="K225" s="439">
        <v>75000</v>
      </c>
      <c r="L225" s="439"/>
      <c r="M225" s="439"/>
      <c r="N225" s="439"/>
      <c r="O225" s="439"/>
      <c r="P225" s="439"/>
      <c r="Q225" s="439"/>
      <c r="R225" s="439"/>
      <c r="S225" s="439"/>
      <c r="T225" s="439"/>
      <c r="U225" s="439"/>
      <c r="V225" s="466">
        <v>0.75</v>
      </c>
      <c r="W225" s="439">
        <v>75000</v>
      </c>
      <c r="Z225" s="897"/>
      <c r="AA225" s="897"/>
      <c r="AB225" s="897"/>
    </row>
    <row r="226" spans="1:28" s="912" customFormat="1" x14ac:dyDescent="0.2">
      <c r="A226" s="540" t="s">
        <v>1637</v>
      </c>
      <c r="B226" s="484"/>
      <c r="C226" s="484"/>
      <c r="D226" s="485"/>
      <c r="E226" s="485"/>
      <c r="F226" s="484"/>
      <c r="G226" s="484"/>
      <c r="H226" s="486">
        <f t="shared" ref="H226:W226" si="20">SUM(H223:H225)</f>
        <v>2.75</v>
      </c>
      <c r="I226" s="487">
        <f t="shared" si="20"/>
        <v>411187</v>
      </c>
      <c r="J226" s="932">
        <f t="shared" si="20"/>
        <v>2.75</v>
      </c>
      <c r="K226" s="487">
        <f t="shared" si="20"/>
        <v>413000</v>
      </c>
      <c r="L226" s="487"/>
      <c r="M226" s="487"/>
      <c r="N226" s="487"/>
      <c r="O226" s="487"/>
      <c r="P226" s="487"/>
      <c r="Q226" s="487"/>
      <c r="R226" s="487"/>
      <c r="S226" s="487"/>
      <c r="T226" s="487"/>
      <c r="U226" s="487"/>
      <c r="V226" s="932">
        <f t="shared" si="20"/>
        <v>2.75</v>
      </c>
      <c r="W226" s="487">
        <f t="shared" si="20"/>
        <v>413000</v>
      </c>
      <c r="Z226" s="897"/>
      <c r="AA226" s="897"/>
      <c r="AB226" s="897"/>
    </row>
    <row r="227" spans="1:28" ht="22.5" customHeight="1" x14ac:dyDescent="0.2">
      <c r="A227" s="920" t="s">
        <v>47</v>
      </c>
      <c r="B227" s="921"/>
      <c r="C227" s="921"/>
      <c r="D227" s="921"/>
      <c r="E227" s="921"/>
      <c r="F227" s="921"/>
      <c r="H227" s="376">
        <f t="shared" ref="H227:I227" si="21">H7+H37+H58+H62+H71+H76+H79+H82+H84+H86+H92+H100+H120+H122+H137+H148+H169+H189+H191+H193+H195+H197+H209+H214+H217+H219+H222+H226</f>
        <v>152.68176470588233</v>
      </c>
      <c r="I227" s="376">
        <f t="shared" si="21"/>
        <v>10657736</v>
      </c>
      <c r="J227" s="376">
        <f>J7+J37+J58+J62+J71+J76+J79+J82+J84+J86+J92+J100+J120+J122+J137+J148+J169+J189+J191+J193+J195+J197+J209+J214+J217+J219+J222+J226</f>
        <v>102.74117647058823</v>
      </c>
      <c r="K227" s="375">
        <f>K7+K37+K58+K62+K71+K76+K79+K82+K84+K86+K92+K100+K120+K122+K137+K148+K169+K189+K191+K193+K195+K197+K209+K214+K217+K219+K222+K226</f>
        <v>11021975</v>
      </c>
      <c r="V227" s="376">
        <f>V7+V37+V58+V62+V71+V76+V79+V82+V84+V86+V92+V100+V120+V122+V137+V148+V169+V189+V191+V193+V195+V197+V209+V214+V217+V219+V222+V226</f>
        <v>102.74117647058823</v>
      </c>
      <c r="W227" s="375">
        <f t="shared" ref="W227" si="22">W7+W37+W58+W62+W71+W76+W79+W82+W84+W86+W92+W100+W120+W122+W137+W148+W169+W189+W191+W193+W195+W197+W209+W214+W217+W219+W222+W226</f>
        <v>9696491</v>
      </c>
    </row>
    <row r="231" spans="1:28" x14ac:dyDescent="0.2">
      <c r="J231" s="375">
        <f>9206000</f>
        <v>9206000</v>
      </c>
    </row>
    <row r="232" spans="1:28" x14ac:dyDescent="0.2">
      <c r="J232" s="375">
        <f>K227-J231</f>
        <v>1815975</v>
      </c>
    </row>
  </sheetData>
  <autoFilter ref="A3:W227"/>
  <sortState ref="B38:M55">
    <sortCondition ref="D38:D55"/>
  </sortState>
  <mergeCells count="2">
    <mergeCell ref="A1:W1"/>
    <mergeCell ref="A2:W2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headerFooter alignWithMargins="0">
    <oddFooter>עמוד &amp;P</oddFooter>
  </headerFooter>
  <rowBreaks count="1" manualBreakCount="1">
    <brk id="149" max="12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rightToLeft="1" view="pageBreakPreview" topLeftCell="A4" zoomScale="80" zoomScaleNormal="100" zoomScaleSheetLayoutView="80" workbookViewId="0">
      <selection activeCell="L4" sqref="L4:L42"/>
    </sheetView>
  </sheetViews>
  <sheetFormatPr defaultColWidth="9.140625" defaultRowHeight="12.75" x14ac:dyDescent="0.2"/>
  <cols>
    <col min="1" max="1" width="9.140625" style="784" bestFit="1" customWidth="1"/>
    <col min="2" max="2" width="10.85546875" style="784" customWidth="1"/>
    <col min="3" max="3" width="10.7109375" style="784" customWidth="1"/>
    <col min="4" max="4" width="8.7109375" style="784" bestFit="1" customWidth="1"/>
    <col min="5" max="5" width="8.5703125" style="784" customWidth="1"/>
    <col min="6" max="6" width="24.140625" style="784" customWidth="1"/>
    <col min="7" max="7" width="23.85546875" style="784" customWidth="1"/>
    <col min="8" max="8" width="5.85546875" style="784" customWidth="1"/>
    <col min="9" max="9" width="29.140625" style="788" bestFit="1" customWidth="1"/>
    <col min="10" max="10" width="12.85546875" style="784" customWidth="1"/>
    <col min="11" max="11" width="8.28515625" style="784" customWidth="1"/>
    <col min="12" max="12" width="12.85546875" style="784" customWidth="1"/>
    <col min="13" max="13" width="14.5703125" style="784" bestFit="1" customWidth="1"/>
    <col min="14" max="14" width="12.85546875" style="784" customWidth="1"/>
    <col min="15" max="15" width="12" style="784" bestFit="1" customWidth="1"/>
    <col min="16" max="22" width="12.85546875" style="784" customWidth="1"/>
    <col min="23" max="23" width="10.85546875" style="784" hidden="1" customWidth="1"/>
    <col min="24" max="24" width="16.5703125" style="784" hidden="1" customWidth="1"/>
    <col min="25" max="25" width="14.85546875" style="784" customWidth="1"/>
    <col min="26" max="26" width="9.5703125" style="787" customWidth="1"/>
    <col min="27" max="29" width="0" style="784" hidden="1" customWidth="1"/>
    <col min="30" max="16384" width="9.140625" style="784"/>
  </cols>
  <sheetData>
    <row r="1" spans="1:29" s="545" customFormat="1" ht="20.25" x14ac:dyDescent="0.2">
      <c r="A1" s="1472" t="s">
        <v>0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  <c r="U1" s="1470"/>
      <c r="V1" s="1470"/>
      <c r="W1" s="1470"/>
      <c r="X1" s="1470"/>
    </row>
    <row r="2" spans="1:29" s="545" customFormat="1" ht="18.75" customHeight="1" x14ac:dyDescent="0.2">
      <c r="A2" s="1473" t="s">
        <v>1812</v>
      </c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1474"/>
    </row>
    <row r="3" spans="1:29" s="906" customFormat="1" ht="38.25" x14ac:dyDescent="0.2">
      <c r="A3" s="903" t="s">
        <v>1324</v>
      </c>
      <c r="B3" s="904" t="s">
        <v>916</v>
      </c>
      <c r="C3" s="904" t="s">
        <v>917</v>
      </c>
      <c r="D3" s="904" t="s">
        <v>918</v>
      </c>
      <c r="E3" s="904" t="s">
        <v>1407</v>
      </c>
      <c r="F3" s="904" t="s">
        <v>1408</v>
      </c>
      <c r="G3" s="904" t="s">
        <v>1409</v>
      </c>
      <c r="H3" s="903" t="s">
        <v>1410</v>
      </c>
      <c r="I3" s="905"/>
      <c r="J3" s="903" t="s">
        <v>1638</v>
      </c>
      <c r="K3" s="903" t="s">
        <v>1412</v>
      </c>
      <c r="L3" s="903" t="s">
        <v>1639</v>
      </c>
      <c r="M3" s="895" t="s">
        <v>2062</v>
      </c>
      <c r="N3" s="895" t="s">
        <v>2059</v>
      </c>
      <c r="O3" s="895" t="s">
        <v>2064</v>
      </c>
      <c r="P3" s="895" t="s">
        <v>2063</v>
      </c>
      <c r="Q3" s="895" t="s">
        <v>2065</v>
      </c>
      <c r="R3" s="895" t="s">
        <v>2066</v>
      </c>
      <c r="S3" s="895" t="s">
        <v>2067</v>
      </c>
      <c r="T3" s="895" t="s">
        <v>113</v>
      </c>
      <c r="U3" s="895" t="s">
        <v>2068</v>
      </c>
      <c r="V3" s="895" t="s">
        <v>2052</v>
      </c>
      <c r="W3" s="903" t="s">
        <v>2072</v>
      </c>
      <c r="X3" s="903" t="s">
        <v>2073</v>
      </c>
      <c r="AA3" s="894" t="s">
        <v>1790</v>
      </c>
      <c r="AB3" s="894" t="s">
        <v>1791</v>
      </c>
      <c r="AC3" s="894" t="s">
        <v>1784</v>
      </c>
    </row>
    <row r="4" spans="1:29" s="547" customFormat="1" ht="16.5" customHeight="1" x14ac:dyDescent="0.2">
      <c r="A4" s="782">
        <v>1</v>
      </c>
      <c r="B4" s="444" t="s">
        <v>1640</v>
      </c>
      <c r="C4" s="444" t="s">
        <v>1641</v>
      </c>
      <c r="D4" s="445">
        <v>5515873</v>
      </c>
      <c r="E4" s="445">
        <v>841000</v>
      </c>
      <c r="F4" s="462" t="s">
        <v>1642</v>
      </c>
      <c r="G4" s="444" t="s">
        <v>1643</v>
      </c>
      <c r="H4" s="469">
        <v>1</v>
      </c>
      <c r="I4" s="783" t="s">
        <v>1410</v>
      </c>
      <c r="J4" s="446">
        <v>183535</v>
      </c>
      <c r="K4" s="469">
        <v>1</v>
      </c>
      <c r="L4" s="446">
        <v>184000</v>
      </c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69">
        <v>1</v>
      </c>
      <c r="X4" s="446">
        <v>184000</v>
      </c>
      <c r="AA4" s="546">
        <v>168903</v>
      </c>
      <c r="AB4" s="546"/>
      <c r="AC4" s="546"/>
    </row>
    <row r="5" spans="1:29" ht="14.25" customHeight="1" x14ac:dyDescent="0.2">
      <c r="A5" s="782">
        <v>1</v>
      </c>
      <c r="B5" s="444" t="s">
        <v>924</v>
      </c>
      <c r="C5" s="444" t="s">
        <v>1644</v>
      </c>
      <c r="D5" s="445">
        <v>3276197</v>
      </c>
      <c r="E5" s="445">
        <v>841000</v>
      </c>
      <c r="F5" s="444" t="s">
        <v>1645</v>
      </c>
      <c r="G5" s="444" t="s">
        <v>1646</v>
      </c>
      <c r="H5" s="469">
        <v>0.5</v>
      </c>
      <c r="I5" s="783" t="s">
        <v>1410</v>
      </c>
      <c r="J5" s="446">
        <v>112000</v>
      </c>
      <c r="K5" s="469">
        <v>0.5</v>
      </c>
      <c r="L5" s="446">
        <v>112000</v>
      </c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69">
        <v>0.5</v>
      </c>
      <c r="X5" s="446">
        <v>112000</v>
      </c>
      <c r="Y5" s="12"/>
      <c r="Z5" s="553"/>
      <c r="AA5" s="208">
        <v>131482</v>
      </c>
      <c r="AB5" s="907"/>
      <c r="AC5" s="907"/>
    </row>
    <row r="6" spans="1:29" ht="14.25" customHeight="1" x14ac:dyDescent="0.2">
      <c r="A6" s="782">
        <v>1</v>
      </c>
      <c r="B6" s="444" t="s">
        <v>924</v>
      </c>
      <c r="C6" s="444" t="s">
        <v>1644</v>
      </c>
      <c r="D6" s="445">
        <v>3276197</v>
      </c>
      <c r="E6" s="445">
        <v>841000</v>
      </c>
      <c r="F6" s="462" t="s">
        <v>1647</v>
      </c>
      <c r="G6" s="462" t="s">
        <v>1648</v>
      </c>
      <c r="H6" s="469">
        <v>0.5</v>
      </c>
      <c r="I6" s="783" t="s">
        <v>1649</v>
      </c>
      <c r="J6" s="446">
        <f>146754-J5</f>
        <v>34754</v>
      </c>
      <c r="K6" s="469">
        <v>0.5</v>
      </c>
      <c r="L6" s="446">
        <v>75000</v>
      </c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69">
        <v>0.5</v>
      </c>
      <c r="X6" s="446">
        <v>75000</v>
      </c>
      <c r="Y6" s="12"/>
      <c r="Z6" s="553"/>
      <c r="AA6" s="208"/>
      <c r="AB6" s="907"/>
      <c r="AC6" s="907"/>
    </row>
    <row r="7" spans="1:29" ht="14.25" customHeight="1" x14ac:dyDescent="0.2">
      <c r="A7" s="782">
        <v>1</v>
      </c>
      <c r="B7" s="444" t="s">
        <v>975</v>
      </c>
      <c r="C7" s="444" t="s">
        <v>1621</v>
      </c>
      <c r="D7" s="445">
        <v>2834208</v>
      </c>
      <c r="E7" s="445">
        <v>841000</v>
      </c>
      <c r="F7" s="462" t="s">
        <v>1650</v>
      </c>
      <c r="G7" s="444" t="s">
        <v>1650</v>
      </c>
      <c r="H7" s="469">
        <v>1</v>
      </c>
      <c r="I7" s="783" t="s">
        <v>1651</v>
      </c>
      <c r="J7" s="446">
        <v>152076</v>
      </c>
      <c r="K7" s="469">
        <v>1</v>
      </c>
      <c r="L7" s="446">
        <v>156000</v>
      </c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69">
        <v>1</v>
      </c>
      <c r="X7" s="446">
        <v>156000</v>
      </c>
      <c r="Y7" s="12"/>
      <c r="Z7" s="553"/>
      <c r="AA7" s="208">
        <v>139526</v>
      </c>
      <c r="AB7" s="907"/>
      <c r="AC7" s="907"/>
    </row>
    <row r="8" spans="1:29" ht="14.25" customHeight="1" x14ac:dyDescent="0.2">
      <c r="A8" s="782">
        <v>1</v>
      </c>
      <c r="B8" s="444" t="s">
        <v>1374</v>
      </c>
      <c r="C8" s="444" t="s">
        <v>1117</v>
      </c>
      <c r="D8" s="445">
        <v>6128021</v>
      </c>
      <c r="E8" s="445">
        <v>841000</v>
      </c>
      <c r="F8" s="462" t="s">
        <v>1652</v>
      </c>
      <c r="G8" s="444" t="s">
        <v>1652</v>
      </c>
      <c r="H8" s="469">
        <v>1</v>
      </c>
      <c r="I8" s="783" t="s">
        <v>1798</v>
      </c>
      <c r="J8" s="446">
        <v>116825</v>
      </c>
      <c r="K8" s="469">
        <v>1</v>
      </c>
      <c r="L8" s="446">
        <v>115000</v>
      </c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69">
        <v>1</v>
      </c>
      <c r="X8" s="446">
        <v>115000</v>
      </c>
      <c r="Y8" s="12"/>
      <c r="Z8" s="553"/>
      <c r="AA8" s="208">
        <v>107450</v>
      </c>
      <c r="AB8" s="907"/>
      <c r="AC8" s="907"/>
    </row>
    <row r="9" spans="1:29" ht="14.25" customHeight="1" x14ac:dyDescent="0.2">
      <c r="A9" s="782">
        <v>1</v>
      </c>
      <c r="B9" s="1020" t="s">
        <v>1653</v>
      </c>
      <c r="C9" s="1020" t="s">
        <v>1654</v>
      </c>
      <c r="D9" s="922">
        <v>30095375</v>
      </c>
      <c r="E9" s="922">
        <v>841000</v>
      </c>
      <c r="F9" s="462" t="s">
        <v>1655</v>
      </c>
      <c r="G9" s="462" t="s">
        <v>1656</v>
      </c>
      <c r="H9" s="469">
        <v>1</v>
      </c>
      <c r="I9" s="783" t="s">
        <v>1799</v>
      </c>
      <c r="J9" s="446">
        <v>154494</v>
      </c>
      <c r="K9" s="469">
        <v>1</v>
      </c>
      <c r="L9" s="446">
        <v>154000</v>
      </c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69">
        <v>1</v>
      </c>
      <c r="X9" s="446">
        <v>154000</v>
      </c>
      <c r="Y9" s="12"/>
      <c r="Z9" s="553"/>
      <c r="AA9" s="208">
        <v>141553</v>
      </c>
      <c r="AB9" s="907"/>
      <c r="AC9" s="907"/>
    </row>
    <row r="10" spans="1:29" ht="14.25" customHeight="1" x14ac:dyDescent="0.2">
      <c r="A10" s="1016">
        <v>1</v>
      </c>
      <c r="B10" s="444" t="s">
        <v>1657</v>
      </c>
      <c r="C10" s="444" t="s">
        <v>1402</v>
      </c>
      <c r="D10" s="445">
        <v>5239197</v>
      </c>
      <c r="E10" s="445">
        <v>841000</v>
      </c>
      <c r="F10" s="444" t="s">
        <v>1658</v>
      </c>
      <c r="G10" s="444" t="s">
        <v>1658</v>
      </c>
      <c r="H10" s="1017">
        <v>0.5</v>
      </c>
      <c r="I10" s="1018" t="s">
        <v>1651</v>
      </c>
      <c r="J10" s="1019">
        <v>99812</v>
      </c>
      <c r="K10" s="1017">
        <v>0.5</v>
      </c>
      <c r="L10" s="1019">
        <v>110000</v>
      </c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7">
        <v>0.5</v>
      </c>
      <c r="X10" s="1019">
        <v>70000</v>
      </c>
      <c r="Y10" s="785"/>
      <c r="Z10" s="553"/>
      <c r="AA10" s="208">
        <v>92137</v>
      </c>
      <c r="AB10" s="907"/>
      <c r="AC10" s="907"/>
    </row>
    <row r="11" spans="1:29" ht="14.25" customHeight="1" x14ac:dyDescent="0.2">
      <c r="A11" s="1016">
        <v>1</v>
      </c>
      <c r="B11" s="444" t="s">
        <v>1111</v>
      </c>
      <c r="C11" s="444" t="s">
        <v>1463</v>
      </c>
      <c r="D11" s="445">
        <v>5755856</v>
      </c>
      <c r="E11" s="445">
        <v>841000</v>
      </c>
      <c r="F11" s="444" t="s">
        <v>1801</v>
      </c>
      <c r="G11" s="444" t="s">
        <v>1659</v>
      </c>
      <c r="H11" s="1017">
        <v>0.5</v>
      </c>
      <c r="I11" s="1018" t="s">
        <v>1651</v>
      </c>
      <c r="J11" s="1019">
        <v>60351</v>
      </c>
      <c r="K11" s="1017">
        <v>0.5</v>
      </c>
      <c r="L11" s="1019">
        <v>65000</v>
      </c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7">
        <v>0.5</v>
      </c>
      <c r="X11" s="1019">
        <v>65000</v>
      </c>
      <c r="Y11" s="12"/>
      <c r="Z11" s="553"/>
      <c r="AA11" s="208">
        <v>55537</v>
      </c>
      <c r="AB11" s="907"/>
      <c r="AC11" s="907"/>
    </row>
    <row r="12" spans="1:29" ht="14.25" customHeight="1" x14ac:dyDescent="0.2">
      <c r="A12" s="782">
        <v>1</v>
      </c>
      <c r="B12" s="444" t="s">
        <v>949</v>
      </c>
      <c r="C12" s="444" t="s">
        <v>1800</v>
      </c>
      <c r="D12" s="445"/>
      <c r="E12" s="445">
        <v>841000</v>
      </c>
      <c r="F12" s="462" t="s">
        <v>1660</v>
      </c>
      <c r="G12" s="462" t="s">
        <v>1661</v>
      </c>
      <c r="H12" s="469">
        <v>0.5</v>
      </c>
      <c r="I12" s="783" t="s">
        <v>1651</v>
      </c>
      <c r="J12" s="446">
        <v>0</v>
      </c>
      <c r="K12" s="469">
        <v>0.5</v>
      </c>
      <c r="L12" s="446">
        <v>80000</v>
      </c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69">
        <v>0.5</v>
      </c>
      <c r="X12" s="446">
        <v>80000</v>
      </c>
      <c r="Y12" s="12"/>
      <c r="Z12" s="553"/>
      <c r="AA12" s="208">
        <v>29022</v>
      </c>
      <c r="AB12" s="907"/>
      <c r="AC12" s="907"/>
    </row>
    <row r="13" spans="1:29" ht="14.25" customHeight="1" x14ac:dyDescent="0.2">
      <c r="A13" s="782">
        <v>1</v>
      </c>
      <c r="B13" s="444" t="s">
        <v>1662</v>
      </c>
      <c r="C13" s="444" t="s">
        <v>1519</v>
      </c>
      <c r="D13" s="445">
        <v>2618465</v>
      </c>
      <c r="E13" s="445">
        <v>841000</v>
      </c>
      <c r="F13" s="462" t="s">
        <v>1663</v>
      </c>
      <c r="G13" s="462" t="s">
        <v>1656</v>
      </c>
      <c r="H13" s="469">
        <v>0.5</v>
      </c>
      <c r="I13" s="783" t="s">
        <v>1664</v>
      </c>
      <c r="J13" s="446">
        <v>60000</v>
      </c>
      <c r="K13" s="469">
        <v>0.5</v>
      </c>
      <c r="L13" s="446">
        <v>60000</v>
      </c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69">
        <v>0.5</v>
      </c>
      <c r="X13" s="446">
        <v>60000</v>
      </c>
      <c r="Y13" s="12"/>
      <c r="Z13" s="553"/>
      <c r="AA13" s="208">
        <v>105571</v>
      </c>
      <c r="AB13" s="907"/>
      <c r="AC13" s="907"/>
    </row>
    <row r="14" spans="1:29" ht="14.25" customHeight="1" x14ac:dyDescent="0.2">
      <c r="A14" s="782">
        <v>1</v>
      </c>
      <c r="B14" s="444" t="s">
        <v>1662</v>
      </c>
      <c r="C14" s="444" t="s">
        <v>1519</v>
      </c>
      <c r="D14" s="445">
        <v>2618465</v>
      </c>
      <c r="E14" s="445">
        <v>841000</v>
      </c>
      <c r="F14" s="462" t="s">
        <v>1665</v>
      </c>
      <c r="G14" s="462" t="s">
        <v>1666</v>
      </c>
      <c r="H14" s="469">
        <v>0.5</v>
      </c>
      <c r="I14" s="783" t="s">
        <v>1667</v>
      </c>
      <c r="J14" s="446">
        <v>55000</v>
      </c>
      <c r="K14" s="469">
        <v>0.5</v>
      </c>
      <c r="L14" s="446">
        <v>60000</v>
      </c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69">
        <v>0.5</v>
      </c>
      <c r="X14" s="446">
        <v>60000</v>
      </c>
      <c r="Y14" s="12"/>
      <c r="Z14" s="553"/>
      <c r="AA14" s="208"/>
      <c r="AB14" s="907"/>
      <c r="AC14" s="907"/>
    </row>
    <row r="15" spans="1:29" ht="14.25" customHeight="1" x14ac:dyDescent="0.2">
      <c r="A15" s="782">
        <v>1</v>
      </c>
      <c r="B15" s="444" t="s">
        <v>1111</v>
      </c>
      <c r="C15" s="444" t="s">
        <v>1463</v>
      </c>
      <c r="D15" s="445">
        <v>5755856</v>
      </c>
      <c r="E15" s="445">
        <v>841000</v>
      </c>
      <c r="F15" s="462" t="s">
        <v>1668</v>
      </c>
      <c r="G15" s="462" t="s">
        <v>1669</v>
      </c>
      <c r="H15" s="469">
        <v>0.5</v>
      </c>
      <c r="I15" s="783" t="s">
        <v>1651</v>
      </c>
      <c r="J15" s="446">
        <v>0</v>
      </c>
      <c r="K15" s="469">
        <v>0.5</v>
      </c>
      <c r="L15" s="446">
        <v>54000</v>
      </c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69">
        <v>0.5</v>
      </c>
      <c r="X15" s="446">
        <v>54000</v>
      </c>
      <c r="Y15" s="12"/>
      <c r="Z15" s="553"/>
      <c r="AA15" s="208">
        <v>51173</v>
      </c>
      <c r="AB15" s="907"/>
      <c r="AC15" s="907"/>
    </row>
    <row r="16" spans="1:29" ht="14.25" customHeight="1" x14ac:dyDescent="0.2">
      <c r="A16" s="782">
        <v>1</v>
      </c>
      <c r="B16" s="444" t="s">
        <v>1077</v>
      </c>
      <c r="C16" s="444" t="s">
        <v>1078</v>
      </c>
      <c r="D16" s="445">
        <v>5996497</v>
      </c>
      <c r="E16" s="445">
        <v>841000</v>
      </c>
      <c r="F16" s="462" t="s">
        <v>1670</v>
      </c>
      <c r="G16" s="444" t="s">
        <v>1671</v>
      </c>
      <c r="H16" s="469">
        <v>0.75</v>
      </c>
      <c r="I16" s="783" t="s">
        <v>1651</v>
      </c>
      <c r="J16" s="446">
        <v>79974</v>
      </c>
      <c r="K16" s="469">
        <v>0.75</v>
      </c>
      <c r="L16" s="446">
        <v>90000</v>
      </c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69">
        <v>0.75</v>
      </c>
      <c r="X16" s="446">
        <v>90000</v>
      </c>
      <c r="Y16" s="12"/>
      <c r="Z16" s="553"/>
      <c r="AA16" s="208">
        <v>71298</v>
      </c>
      <c r="AB16" s="907"/>
      <c r="AC16" s="907"/>
    </row>
    <row r="17" spans="1:29" ht="14.25" customHeight="1" x14ac:dyDescent="0.2">
      <c r="A17" s="782">
        <v>1</v>
      </c>
      <c r="B17" s="444" t="s">
        <v>1802</v>
      </c>
      <c r="C17" s="444" t="s">
        <v>1803</v>
      </c>
      <c r="D17" s="445">
        <v>9999999</v>
      </c>
      <c r="E17" s="445">
        <v>841000</v>
      </c>
      <c r="F17" s="462" t="s">
        <v>1804</v>
      </c>
      <c r="G17" s="444" t="s">
        <v>1495</v>
      </c>
      <c r="H17" s="469">
        <v>0.5</v>
      </c>
      <c r="I17" s="783" t="s">
        <v>1805</v>
      </c>
      <c r="J17" s="446">
        <v>0</v>
      </c>
      <c r="K17" s="469">
        <v>1.5</v>
      </c>
      <c r="L17" s="446">
        <v>60000</v>
      </c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69">
        <v>1.5</v>
      </c>
      <c r="X17" s="446">
        <v>60000</v>
      </c>
      <c r="Y17" s="12"/>
      <c r="Z17" s="553"/>
      <c r="AA17" s="208"/>
      <c r="AB17" s="907"/>
      <c r="AC17" s="907"/>
    </row>
    <row r="18" spans="1:29" ht="14.25" hidden="1" customHeight="1" x14ac:dyDescent="0.2">
      <c r="A18" s="782"/>
      <c r="B18" s="444"/>
      <c r="C18" s="444"/>
      <c r="D18" s="445"/>
      <c r="E18" s="445"/>
      <c r="F18" s="462"/>
      <c r="G18" s="444"/>
      <c r="H18" s="469"/>
      <c r="I18" s="783"/>
      <c r="J18" s="446"/>
      <c r="K18" s="469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69"/>
      <c r="X18" s="446"/>
      <c r="Y18" s="12"/>
      <c r="Z18" s="553"/>
      <c r="AA18" s="208"/>
      <c r="AB18" s="907"/>
      <c r="AC18" s="907"/>
    </row>
    <row r="19" spans="1:29" ht="14.25" customHeight="1" x14ac:dyDescent="0.2">
      <c r="A19" s="782"/>
      <c r="B19" s="444" t="s">
        <v>1822</v>
      </c>
      <c r="C19" s="444" t="s">
        <v>1458</v>
      </c>
      <c r="D19" s="445">
        <v>3317534</v>
      </c>
      <c r="E19" s="445">
        <v>841000</v>
      </c>
      <c r="F19" s="462" t="s">
        <v>1671</v>
      </c>
      <c r="G19" s="444" t="s">
        <v>1671</v>
      </c>
      <c r="H19" s="469">
        <v>0</v>
      </c>
      <c r="I19" s="783" t="s">
        <v>1671</v>
      </c>
      <c r="J19" s="446">
        <v>97285</v>
      </c>
      <c r="K19" s="469">
        <v>0</v>
      </c>
      <c r="L19" s="446">
        <v>0</v>
      </c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69">
        <v>0</v>
      </c>
      <c r="X19" s="446">
        <v>0</v>
      </c>
      <c r="Y19" s="12"/>
      <c r="Z19" s="553"/>
      <c r="AA19" s="208"/>
      <c r="AB19" s="907"/>
      <c r="AC19" s="907"/>
    </row>
    <row r="20" spans="1:29" ht="14.25" customHeight="1" x14ac:dyDescent="0.2">
      <c r="A20" s="782"/>
      <c r="B20" s="444" t="s">
        <v>1823</v>
      </c>
      <c r="C20" s="444" t="s">
        <v>1824</v>
      </c>
      <c r="D20" s="445">
        <v>3311181</v>
      </c>
      <c r="E20" s="445">
        <v>841000</v>
      </c>
      <c r="F20" s="462" t="s">
        <v>1671</v>
      </c>
      <c r="G20" s="444" t="s">
        <v>1671</v>
      </c>
      <c r="H20" s="469">
        <v>0</v>
      </c>
      <c r="I20" s="783" t="s">
        <v>1671</v>
      </c>
      <c r="J20" s="446">
        <f>9514</f>
        <v>9514</v>
      </c>
      <c r="K20" s="469">
        <v>0</v>
      </c>
      <c r="L20" s="446">
        <v>0</v>
      </c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69">
        <v>0</v>
      </c>
      <c r="X20" s="446">
        <v>0</v>
      </c>
      <c r="Y20" s="12"/>
      <c r="Z20" s="553"/>
      <c r="AA20" s="208"/>
      <c r="AB20" s="907"/>
      <c r="AC20" s="907"/>
    </row>
    <row r="21" spans="1:29" ht="14.25" customHeight="1" x14ac:dyDescent="0.2">
      <c r="A21" s="782"/>
      <c r="B21" s="444" t="s">
        <v>1825</v>
      </c>
      <c r="C21" s="444" t="s">
        <v>1826</v>
      </c>
      <c r="D21" s="445">
        <v>30249753</v>
      </c>
      <c r="E21" s="445">
        <v>841000</v>
      </c>
      <c r="F21" s="462" t="s">
        <v>1671</v>
      </c>
      <c r="G21" s="444" t="s">
        <v>1671</v>
      </c>
      <c r="H21" s="469">
        <v>0</v>
      </c>
      <c r="I21" s="783" t="s">
        <v>1671</v>
      </c>
      <c r="J21" s="446">
        <f>55777+29021</f>
        <v>84798</v>
      </c>
      <c r="K21" s="469">
        <v>0</v>
      </c>
      <c r="L21" s="446">
        <v>0</v>
      </c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69">
        <v>0</v>
      </c>
      <c r="X21" s="446">
        <v>0</v>
      </c>
      <c r="Y21" s="12"/>
      <c r="Z21" s="553"/>
      <c r="AA21" s="208"/>
      <c r="AB21" s="907"/>
      <c r="AC21" s="907"/>
    </row>
    <row r="22" spans="1:29" ht="14.25" customHeight="1" x14ac:dyDescent="0.2">
      <c r="A22" s="782">
        <v>1</v>
      </c>
      <c r="B22" s="444" t="s">
        <v>1356</v>
      </c>
      <c r="C22" s="444" t="s">
        <v>1501</v>
      </c>
      <c r="D22" s="445"/>
      <c r="E22" s="445"/>
      <c r="F22" s="462" t="s">
        <v>1671</v>
      </c>
      <c r="G22" s="444" t="s">
        <v>1673</v>
      </c>
      <c r="H22" s="469">
        <v>0.33</v>
      </c>
      <c r="I22" s="783" t="s">
        <v>1806</v>
      </c>
      <c r="J22" s="446">
        <v>0</v>
      </c>
      <c r="K22" s="469">
        <v>0.33</v>
      </c>
      <c r="L22" s="446">
        <v>39600</v>
      </c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69">
        <v>0.33</v>
      </c>
      <c r="X22" s="446">
        <v>39600</v>
      </c>
      <c r="Y22" s="12"/>
      <c r="Z22" s="553"/>
      <c r="AA22" s="208"/>
      <c r="AB22" s="907"/>
      <c r="AC22" s="907"/>
    </row>
    <row r="23" spans="1:29" ht="14.25" customHeight="1" x14ac:dyDescent="0.2">
      <c r="A23" s="782">
        <v>1</v>
      </c>
      <c r="B23" s="444" t="s">
        <v>1403</v>
      </c>
      <c r="C23" s="444" t="s">
        <v>1501</v>
      </c>
      <c r="D23" s="445">
        <v>9999999</v>
      </c>
      <c r="E23" s="445">
        <v>841000</v>
      </c>
      <c r="F23" s="462" t="s">
        <v>1672</v>
      </c>
      <c r="G23" s="444" t="s">
        <v>1673</v>
      </c>
      <c r="H23" s="469">
        <v>2.58</v>
      </c>
      <c r="I23" s="783" t="s">
        <v>1674</v>
      </c>
      <c r="J23" s="446">
        <v>0</v>
      </c>
      <c r="K23" s="469">
        <v>2.58</v>
      </c>
      <c r="L23" s="446">
        <v>323933</v>
      </c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69">
        <v>2.58</v>
      </c>
      <c r="X23" s="446">
        <v>323933</v>
      </c>
      <c r="Y23" s="12"/>
      <c r="Z23" s="553"/>
      <c r="AA23" s="208"/>
      <c r="AB23" s="907"/>
      <c r="AC23" s="907"/>
    </row>
    <row r="24" spans="1:29" ht="14.25" customHeight="1" x14ac:dyDescent="0.2">
      <c r="A24" s="782">
        <v>1</v>
      </c>
      <c r="B24" s="444" t="s">
        <v>1817</v>
      </c>
      <c r="C24" s="444" t="s">
        <v>1818</v>
      </c>
      <c r="D24" s="445">
        <v>9999999</v>
      </c>
      <c r="E24" s="445">
        <v>841000</v>
      </c>
      <c r="F24" s="462" t="s">
        <v>1672</v>
      </c>
      <c r="G24" s="444" t="s">
        <v>1673</v>
      </c>
      <c r="H24" s="469">
        <v>2</v>
      </c>
      <c r="I24" s="783" t="s">
        <v>1819</v>
      </c>
      <c r="J24" s="446">
        <v>0</v>
      </c>
      <c r="K24" s="469">
        <v>2</v>
      </c>
      <c r="L24" s="446">
        <v>250000</v>
      </c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69">
        <v>2</v>
      </c>
      <c r="X24" s="446">
        <v>250000</v>
      </c>
      <c r="Y24" s="12"/>
      <c r="Z24" s="553"/>
      <c r="AA24" s="208"/>
      <c r="AB24" s="907"/>
      <c r="AC24" s="907"/>
    </row>
    <row r="25" spans="1:29" s="749" customFormat="1" ht="14.25" customHeight="1" x14ac:dyDescent="0.2">
      <c r="A25" s="786"/>
      <c r="B25" s="489"/>
      <c r="C25" s="489"/>
      <c r="D25" s="490"/>
      <c r="E25" s="490"/>
      <c r="F25" s="489"/>
      <c r="G25" s="489"/>
      <c r="H25" s="491"/>
      <c r="I25" s="725"/>
      <c r="J25" s="492">
        <f>SUM(J4:J24)</f>
        <v>1300418</v>
      </c>
      <c r="K25" s="491">
        <f>SUM(K4:K24)</f>
        <v>15.16</v>
      </c>
      <c r="L25" s="492">
        <f>SUM(L4:L24)</f>
        <v>1988533</v>
      </c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1">
        <f>SUM(W4:W24)</f>
        <v>15.16</v>
      </c>
      <c r="X25" s="492">
        <f>SUM(X4:X24)</f>
        <v>1948533</v>
      </c>
      <c r="Y25" s="12"/>
      <c r="Z25" s="553"/>
      <c r="AA25" s="208"/>
      <c r="AB25" s="908"/>
      <c r="AC25" s="908"/>
    </row>
    <row r="26" spans="1:29" ht="14.25" customHeight="1" x14ac:dyDescent="0.2">
      <c r="A26" s="782">
        <v>1</v>
      </c>
      <c r="B26" s="444" t="s">
        <v>1675</v>
      </c>
      <c r="C26" s="444" t="s">
        <v>1394</v>
      </c>
      <c r="D26" s="445">
        <v>3429196</v>
      </c>
      <c r="E26" s="445">
        <v>841001</v>
      </c>
      <c r="F26" s="462" t="s">
        <v>1676</v>
      </c>
      <c r="G26" s="444" t="s">
        <v>1677</v>
      </c>
      <c r="H26" s="469">
        <v>0.8</v>
      </c>
      <c r="I26" s="783"/>
      <c r="J26" s="446">
        <v>86466</v>
      </c>
      <c r="K26" s="469">
        <v>0.8</v>
      </c>
      <c r="L26" s="446">
        <v>86000</v>
      </c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69">
        <v>0.8</v>
      </c>
      <c r="X26" s="446">
        <v>86000</v>
      </c>
      <c r="Y26" s="12"/>
      <c r="Z26" s="553"/>
      <c r="AA26" s="208">
        <v>79658</v>
      </c>
      <c r="AB26" s="907"/>
      <c r="AC26" s="907"/>
    </row>
    <row r="27" spans="1:29" ht="14.25" customHeight="1" x14ac:dyDescent="0.2">
      <c r="A27" s="1016">
        <v>1</v>
      </c>
      <c r="B27" s="444" t="s">
        <v>1392</v>
      </c>
      <c r="C27" s="444" t="s">
        <v>1051</v>
      </c>
      <c r="D27" s="445">
        <v>5440403</v>
      </c>
      <c r="E27" s="445">
        <v>841001</v>
      </c>
      <c r="F27" s="444" t="s">
        <v>1678</v>
      </c>
      <c r="G27" s="444" t="s">
        <v>1592</v>
      </c>
      <c r="H27" s="1017">
        <v>1</v>
      </c>
      <c r="I27" s="1018"/>
      <c r="J27" s="1019">
        <v>104252</v>
      </c>
      <c r="K27" s="1017">
        <v>1</v>
      </c>
      <c r="L27" s="1019">
        <v>98000</v>
      </c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17">
        <v>0</v>
      </c>
      <c r="X27" s="1019">
        <v>0</v>
      </c>
      <c r="Y27" s="785"/>
      <c r="Z27" s="553"/>
      <c r="AA27" s="208">
        <v>96357</v>
      </c>
      <c r="AB27" s="907"/>
      <c r="AC27" s="907"/>
    </row>
    <row r="28" spans="1:29" ht="14.25" customHeight="1" x14ac:dyDescent="0.2">
      <c r="A28" s="782">
        <v>1</v>
      </c>
      <c r="B28" s="444" t="s">
        <v>1432</v>
      </c>
      <c r="C28" s="444" t="s">
        <v>1679</v>
      </c>
      <c r="D28" s="445">
        <v>5817510</v>
      </c>
      <c r="E28" s="445">
        <v>841001</v>
      </c>
      <c r="F28" s="444" t="s">
        <v>1680</v>
      </c>
      <c r="G28" s="444" t="s">
        <v>1681</v>
      </c>
      <c r="H28" s="469">
        <v>1</v>
      </c>
      <c r="I28" s="783"/>
      <c r="J28" s="446">
        <v>129548</v>
      </c>
      <c r="K28" s="469">
        <v>1</v>
      </c>
      <c r="L28" s="446">
        <v>130000</v>
      </c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69">
        <v>1</v>
      </c>
      <c r="X28" s="446">
        <v>130000</v>
      </c>
      <c r="Y28" s="12"/>
      <c r="Z28" s="553"/>
      <c r="AA28" s="208">
        <v>119508</v>
      </c>
      <c r="AB28" s="907"/>
      <c r="AC28" s="907"/>
    </row>
    <row r="29" spans="1:29" ht="14.25" customHeight="1" x14ac:dyDescent="0.2">
      <c r="A29" s="782">
        <v>1</v>
      </c>
      <c r="B29" s="444" t="s">
        <v>955</v>
      </c>
      <c r="C29" s="444" t="s">
        <v>1682</v>
      </c>
      <c r="D29" s="445">
        <v>5934908</v>
      </c>
      <c r="E29" s="445">
        <v>841001</v>
      </c>
      <c r="F29" s="444" t="s">
        <v>1683</v>
      </c>
      <c r="G29" s="444" t="s">
        <v>981</v>
      </c>
      <c r="H29" s="469">
        <v>0.83</v>
      </c>
      <c r="I29" s="783"/>
      <c r="J29" s="446">
        <v>76650</v>
      </c>
      <c r="K29" s="469">
        <v>0.83</v>
      </c>
      <c r="L29" s="446">
        <v>76000</v>
      </c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69">
        <v>0.83</v>
      </c>
      <c r="X29" s="446">
        <v>76000</v>
      </c>
      <c r="Y29" s="12"/>
      <c r="Z29" s="553"/>
      <c r="AA29" s="208">
        <v>70663</v>
      </c>
      <c r="AB29" s="907"/>
      <c r="AC29" s="907"/>
    </row>
    <row r="30" spans="1:29" s="749" customFormat="1" ht="14.25" customHeight="1" x14ac:dyDescent="0.2">
      <c r="A30" s="786"/>
      <c r="B30" s="489"/>
      <c r="C30" s="489"/>
      <c r="D30" s="490"/>
      <c r="E30" s="490"/>
      <c r="F30" s="489"/>
      <c r="G30" s="489"/>
      <c r="H30" s="491"/>
      <c r="I30" s="725"/>
      <c r="J30" s="492">
        <f>SUM(J26:J29)</f>
        <v>396916</v>
      </c>
      <c r="K30" s="492">
        <f>SUM(K26:K29)</f>
        <v>3.63</v>
      </c>
      <c r="L30" s="492">
        <f>SUM(L26:L29)</f>
        <v>390000</v>
      </c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1"/>
      <c r="X30" s="492">
        <f>SUM(X26:X29)</f>
        <v>292000</v>
      </c>
      <c r="Y30" s="12"/>
      <c r="Z30" s="553"/>
      <c r="AA30" s="208"/>
      <c r="AB30" s="908"/>
      <c r="AC30" s="908"/>
    </row>
    <row r="31" spans="1:29" ht="14.25" customHeight="1" x14ac:dyDescent="0.2">
      <c r="A31" s="782">
        <v>1</v>
      </c>
      <c r="B31" s="444" t="s">
        <v>1432</v>
      </c>
      <c r="C31" s="444" t="s">
        <v>1684</v>
      </c>
      <c r="D31" s="445">
        <v>2815747</v>
      </c>
      <c r="E31" s="445">
        <v>841300</v>
      </c>
      <c r="F31" s="444" t="s">
        <v>1685</v>
      </c>
      <c r="G31" s="444" t="s">
        <v>1686</v>
      </c>
      <c r="H31" s="469">
        <v>0.6</v>
      </c>
      <c r="I31" s="783"/>
      <c r="J31" s="446">
        <v>57285</v>
      </c>
      <c r="K31" s="469">
        <v>0.6</v>
      </c>
      <c r="L31" s="446">
        <v>57285</v>
      </c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69">
        <v>0.6</v>
      </c>
      <c r="X31" s="446">
        <v>57285</v>
      </c>
      <c r="Y31" s="12"/>
      <c r="Z31" s="553"/>
      <c r="AA31" s="208">
        <v>52843</v>
      </c>
      <c r="AB31" s="907"/>
      <c r="AC31" s="907"/>
    </row>
    <row r="32" spans="1:29" ht="14.25" customHeight="1" x14ac:dyDescent="0.2">
      <c r="A32" s="782"/>
      <c r="B32" s="444" t="s">
        <v>975</v>
      </c>
      <c r="C32" s="444" t="s">
        <v>1827</v>
      </c>
      <c r="D32" s="445">
        <v>2750780</v>
      </c>
      <c r="E32" s="445">
        <v>841300</v>
      </c>
      <c r="F32" s="444" t="s">
        <v>1685</v>
      </c>
      <c r="G32" s="444" t="s">
        <v>1044</v>
      </c>
      <c r="H32" s="469">
        <v>0</v>
      </c>
      <c r="I32" s="783"/>
      <c r="J32" s="446">
        <v>73475</v>
      </c>
      <c r="K32" s="469">
        <v>0</v>
      </c>
      <c r="L32" s="446">
        <v>0</v>
      </c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69">
        <v>0</v>
      </c>
      <c r="X32" s="446">
        <v>0</v>
      </c>
      <c r="Y32" s="12"/>
      <c r="Z32" s="553"/>
      <c r="AA32" s="208"/>
      <c r="AB32" s="907"/>
      <c r="AC32" s="907"/>
    </row>
    <row r="33" spans="1:29" ht="14.25" customHeight="1" x14ac:dyDescent="0.2">
      <c r="A33" s="1016">
        <v>1</v>
      </c>
      <c r="B33" s="444" t="s">
        <v>1135</v>
      </c>
      <c r="C33" s="444" t="s">
        <v>1394</v>
      </c>
      <c r="D33" s="445">
        <v>2824491</v>
      </c>
      <c r="E33" s="445">
        <v>845200</v>
      </c>
      <c r="F33" s="444" t="s">
        <v>1685</v>
      </c>
      <c r="G33" s="444" t="s">
        <v>1044</v>
      </c>
      <c r="H33" s="1017">
        <v>0.8</v>
      </c>
      <c r="I33" s="1018"/>
      <c r="J33" s="1019">
        <v>0</v>
      </c>
      <c r="K33" s="1017">
        <v>0.8</v>
      </c>
      <c r="L33" s="1019">
        <v>30000</v>
      </c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17">
        <v>0.8</v>
      </c>
      <c r="X33" s="1019">
        <v>80000</v>
      </c>
      <c r="Y33" s="785"/>
      <c r="Z33" s="553"/>
      <c r="AA33" s="208">
        <v>73475</v>
      </c>
      <c r="AB33" s="907"/>
      <c r="AC33" s="907"/>
    </row>
    <row r="34" spans="1:29" s="749" customFormat="1" ht="14.25" customHeight="1" x14ac:dyDescent="0.2">
      <c r="A34" s="548"/>
      <c r="B34" s="489"/>
      <c r="C34" s="489"/>
      <c r="D34" s="490"/>
      <c r="E34" s="490"/>
      <c r="F34" s="489"/>
      <c r="G34" s="489"/>
      <c r="H34" s="491"/>
      <c r="I34" s="725"/>
      <c r="J34" s="492">
        <f>SUM(J31:J33)</f>
        <v>130760</v>
      </c>
      <c r="K34" s="492">
        <f>SUM(K31:K33)</f>
        <v>1.4</v>
      </c>
      <c r="L34" s="492">
        <f>SUM(L31:L33)</f>
        <v>87285</v>
      </c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1"/>
      <c r="X34" s="492">
        <f>SUM(X31:X33)</f>
        <v>137285</v>
      </c>
      <c r="Y34" s="12"/>
      <c r="Z34" s="553"/>
      <c r="AA34" s="208"/>
      <c r="AB34" s="908"/>
      <c r="AC34" s="908"/>
    </row>
    <row r="35" spans="1:29" ht="14.25" hidden="1" customHeight="1" x14ac:dyDescent="0.2">
      <c r="A35" s="782">
        <v>24</v>
      </c>
      <c r="B35" s="444" t="s">
        <v>990</v>
      </c>
      <c r="C35" s="444" t="s">
        <v>1499</v>
      </c>
      <c r="D35" s="445">
        <v>30101448</v>
      </c>
      <c r="E35" s="445">
        <v>841400</v>
      </c>
      <c r="F35" s="444" t="s">
        <v>1687</v>
      </c>
      <c r="G35" s="444" t="s">
        <v>966</v>
      </c>
      <c r="H35" s="469" t="s">
        <v>1047</v>
      </c>
      <c r="I35" s="783"/>
      <c r="J35" s="446">
        <v>0</v>
      </c>
      <c r="K35" s="469" t="s">
        <v>1047</v>
      </c>
      <c r="L35" s="446">
        <v>0</v>
      </c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69" t="s">
        <v>1047</v>
      </c>
      <c r="X35" s="446">
        <v>0</v>
      </c>
      <c r="AA35" s="907"/>
      <c r="AB35" s="907"/>
      <c r="AC35" s="907"/>
    </row>
    <row r="36" spans="1:29" s="749" customFormat="1" ht="5.25" hidden="1" customHeight="1" x14ac:dyDescent="0.2">
      <c r="A36" s="546"/>
      <c r="B36" s="447"/>
      <c r="C36" s="447"/>
      <c r="D36" s="448"/>
      <c r="E36" s="448"/>
      <c r="F36" s="447"/>
      <c r="G36" s="447"/>
      <c r="H36" s="470"/>
      <c r="I36" s="726">
        <f t="shared" ref="I36" si="0">SUM(I35)</f>
        <v>0</v>
      </c>
      <c r="J36" s="449"/>
      <c r="K36" s="470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70"/>
      <c r="X36" s="449"/>
      <c r="Z36" s="547"/>
      <c r="AA36" s="908"/>
      <c r="AB36" s="908"/>
      <c r="AC36" s="908"/>
    </row>
    <row r="37" spans="1:29" ht="14.25" customHeight="1" x14ac:dyDescent="0.2">
      <c r="A37" s="1016">
        <v>1</v>
      </c>
      <c r="B37" s="444" t="s">
        <v>1135</v>
      </c>
      <c r="C37" s="444" t="s">
        <v>1394</v>
      </c>
      <c r="D37" s="445">
        <v>2824491</v>
      </c>
      <c r="E37" s="445">
        <v>845200</v>
      </c>
      <c r="F37" s="444" t="s">
        <v>1688</v>
      </c>
      <c r="G37" s="444" t="s">
        <v>1689</v>
      </c>
      <c r="H37" s="1017">
        <v>0.6</v>
      </c>
      <c r="I37" s="1018"/>
      <c r="J37" s="1019">
        <v>70000</v>
      </c>
      <c r="K37" s="1017">
        <v>0.6</v>
      </c>
      <c r="L37" s="1019">
        <v>40000</v>
      </c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7">
        <v>0</v>
      </c>
      <c r="X37" s="1019">
        <v>0</v>
      </c>
      <c r="Y37" s="785"/>
      <c r="AA37" s="907">
        <v>60497</v>
      </c>
      <c r="AB37" s="907"/>
      <c r="AC37" s="907"/>
    </row>
    <row r="38" spans="1:29" ht="14.25" customHeight="1" x14ac:dyDescent="0.2">
      <c r="A38" s="1016">
        <v>1</v>
      </c>
      <c r="B38" s="444" t="s">
        <v>1395</v>
      </c>
      <c r="C38" s="444" t="s">
        <v>1396</v>
      </c>
      <c r="D38" s="445">
        <v>5703234</v>
      </c>
      <c r="E38" s="445">
        <v>845200</v>
      </c>
      <c r="F38" s="444" t="s">
        <v>1688</v>
      </c>
      <c r="G38" s="444" t="s">
        <v>1690</v>
      </c>
      <c r="H38" s="1017">
        <v>0.6</v>
      </c>
      <c r="I38" s="1018"/>
      <c r="J38" s="1019">
        <v>56900</v>
      </c>
      <c r="K38" s="1017">
        <v>0.6</v>
      </c>
      <c r="L38" s="1019">
        <v>65000</v>
      </c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7">
        <v>0</v>
      </c>
      <c r="X38" s="1019">
        <v>0</v>
      </c>
      <c r="Y38" s="785"/>
      <c r="AA38" s="907">
        <v>52376</v>
      </c>
      <c r="AB38" s="907"/>
      <c r="AC38" s="907"/>
    </row>
    <row r="39" spans="1:29" ht="14.25" customHeight="1" x14ac:dyDescent="0.2">
      <c r="A39" s="1016">
        <v>1</v>
      </c>
      <c r="B39" s="444" t="s">
        <v>1398</v>
      </c>
      <c r="C39" s="444" t="s">
        <v>1691</v>
      </c>
      <c r="D39" s="445">
        <v>5760408</v>
      </c>
      <c r="E39" s="445">
        <v>845200</v>
      </c>
      <c r="F39" s="444" t="s">
        <v>1688</v>
      </c>
      <c r="G39" s="444" t="s">
        <v>1692</v>
      </c>
      <c r="H39" s="1017">
        <v>1</v>
      </c>
      <c r="I39" s="1018"/>
      <c r="J39" s="1019">
        <v>180000</v>
      </c>
      <c r="K39" s="1017">
        <v>1</v>
      </c>
      <c r="L39" s="1019">
        <v>180000</v>
      </c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7">
        <v>0</v>
      </c>
      <c r="X39" s="1019">
        <v>100000</v>
      </c>
      <c r="Y39" s="785"/>
      <c r="AA39" s="907">
        <v>166135</v>
      </c>
      <c r="AB39" s="907"/>
      <c r="AC39" s="907"/>
    </row>
    <row r="40" spans="1:29" ht="14.25" customHeight="1" x14ac:dyDescent="0.2">
      <c r="A40" s="1016">
        <v>1</v>
      </c>
      <c r="B40" s="444" t="s">
        <v>967</v>
      </c>
      <c r="C40" s="444" t="s">
        <v>1397</v>
      </c>
      <c r="D40" s="445">
        <v>5763016</v>
      </c>
      <c r="E40" s="445">
        <v>845200</v>
      </c>
      <c r="F40" s="444" t="s">
        <v>1688</v>
      </c>
      <c r="G40" s="444" t="s">
        <v>1689</v>
      </c>
      <c r="H40" s="1017">
        <v>0.6</v>
      </c>
      <c r="I40" s="1018"/>
      <c r="J40" s="1019">
        <v>101000</v>
      </c>
      <c r="K40" s="1017">
        <v>0.6</v>
      </c>
      <c r="L40" s="1019">
        <v>75000</v>
      </c>
      <c r="M40" s="1019"/>
      <c r="N40" s="1019"/>
      <c r="O40" s="1019"/>
      <c r="P40" s="1019"/>
      <c r="Q40" s="1019"/>
      <c r="R40" s="1019"/>
      <c r="S40" s="1019"/>
      <c r="T40" s="1019"/>
      <c r="U40" s="1019"/>
      <c r="V40" s="1019"/>
      <c r="W40" s="1017">
        <v>0</v>
      </c>
      <c r="X40" s="1019">
        <v>0</v>
      </c>
      <c r="Y40" s="785"/>
      <c r="AA40" s="907">
        <v>92485</v>
      </c>
      <c r="AB40" s="907"/>
      <c r="AC40" s="907"/>
    </row>
    <row r="41" spans="1:29" s="749" customFormat="1" ht="14.25" customHeight="1" x14ac:dyDescent="0.2">
      <c r="A41" s="786"/>
      <c r="B41" s="548"/>
      <c r="C41" s="786"/>
      <c r="D41" s="786"/>
      <c r="E41" s="786"/>
      <c r="F41" s="786"/>
      <c r="G41" s="786"/>
      <c r="H41" s="548"/>
      <c r="I41" s="725"/>
      <c r="J41" s="492">
        <f>SUM(J37:J40)</f>
        <v>407900</v>
      </c>
      <c r="K41" s="492">
        <f>SUM(K37:K40)</f>
        <v>2.8000000000000003</v>
      </c>
      <c r="L41" s="492">
        <f t="shared" ref="L41:X41" si="1">SUM(L37:L40)</f>
        <v>360000</v>
      </c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>
        <f t="shared" si="1"/>
        <v>100000</v>
      </c>
      <c r="Z41" s="547"/>
      <c r="AA41" s="908"/>
      <c r="AB41" s="908"/>
      <c r="AC41" s="908"/>
    </row>
    <row r="42" spans="1:29" s="749" customFormat="1" ht="24" customHeight="1" x14ac:dyDescent="0.2">
      <c r="A42" s="779" t="s">
        <v>50</v>
      </c>
      <c r="B42" s="780"/>
      <c r="C42" s="780"/>
      <c r="D42" s="780"/>
      <c r="E42" s="780"/>
      <c r="F42" s="780"/>
      <c r="G42" s="781"/>
      <c r="H42" s="728">
        <f>SUM(H4:H41)</f>
        <v>21.990000000000006</v>
      </c>
      <c r="I42" s="727"/>
      <c r="J42" s="464">
        <f>J25+J30+J34+J36+J41</f>
        <v>2235994</v>
      </c>
      <c r="K42" s="937">
        <f>K25+K30+K34+K36+K41</f>
        <v>22.99</v>
      </c>
      <c r="L42" s="937">
        <f>L25+L30+L34+L36+L41</f>
        <v>2825818</v>
      </c>
      <c r="M42" s="1060"/>
      <c r="N42" s="1060"/>
      <c r="O42" s="1060"/>
      <c r="P42" s="1060"/>
      <c r="Q42" s="1060"/>
      <c r="R42" s="1060"/>
      <c r="S42" s="1060"/>
      <c r="T42" s="1060"/>
      <c r="U42" s="1060"/>
      <c r="V42" s="1060"/>
      <c r="W42" s="555">
        <f>SUM(W4:W41)</f>
        <v>34.35</v>
      </c>
      <c r="X42" s="464">
        <f>X25+X30+X34+X36+X41</f>
        <v>2477818</v>
      </c>
      <c r="Z42" s="547"/>
    </row>
  </sheetData>
  <mergeCells count="2">
    <mergeCell ref="A1:X1"/>
    <mergeCell ref="A2:X2"/>
  </mergeCells>
  <pageMargins left="0.118110236220472" right="0.31496062992126" top="0.74803149606299202" bottom="0.74803149606299202" header="0.31496062992126" footer="0.31496062992126"/>
  <pageSetup paperSize="9" scale="76" orientation="landscape" r:id="rId1"/>
  <headerFooter alignWithMargins="0">
    <oddFooter>עמוד &amp;P</oddFooter>
  </headerFooter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J41" sqref="J4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rightToLeft="1" view="pageLayout" workbookViewId="0">
      <selection activeCell="E13" sqref="E13"/>
    </sheetView>
  </sheetViews>
  <sheetFormatPr defaultColWidth="9.140625" defaultRowHeight="12.75" x14ac:dyDescent="0.2"/>
  <cols>
    <col min="1" max="1" width="11.7109375" style="815" bestFit="1" customWidth="1"/>
    <col min="2" max="2" width="33.28515625" style="816" bestFit="1" customWidth="1"/>
    <col min="3" max="3" width="12.140625" style="513" bestFit="1" customWidth="1"/>
    <col min="4" max="4" width="12.140625" style="493" hidden="1" customWidth="1"/>
    <col min="5" max="5" width="12.140625" style="513" bestFit="1" customWidth="1"/>
    <col min="6" max="6" width="10.85546875" style="513" customWidth="1"/>
    <col min="7" max="16384" width="9.140625" style="493"/>
  </cols>
  <sheetData>
    <row r="1" spans="1:6" x14ac:dyDescent="0.2">
      <c r="A1" s="851" t="s">
        <v>539</v>
      </c>
      <c r="B1" s="852" t="s">
        <v>540</v>
      </c>
      <c r="C1" s="853" t="s">
        <v>541</v>
      </c>
      <c r="D1" s="853" t="s">
        <v>65</v>
      </c>
      <c r="E1" s="853" t="s">
        <v>542</v>
      </c>
      <c r="F1" s="853" t="s">
        <v>542</v>
      </c>
    </row>
    <row r="2" spans="1:6" s="509" customFormat="1" x14ac:dyDescent="0.2">
      <c r="A2" s="854" t="s">
        <v>543</v>
      </c>
      <c r="B2" s="791" t="s">
        <v>544</v>
      </c>
      <c r="C2" s="853" t="s">
        <v>545</v>
      </c>
      <c r="D2" s="853" t="s">
        <v>546</v>
      </c>
      <c r="E2" s="853" t="s">
        <v>547</v>
      </c>
      <c r="F2" s="853" t="s">
        <v>548</v>
      </c>
    </row>
    <row r="3" spans="1:6" x14ac:dyDescent="0.2">
      <c r="A3" s="518">
        <v>611100.11</v>
      </c>
      <c r="B3" s="519" t="s">
        <v>556</v>
      </c>
      <c r="C3" s="516">
        <f>מוניצ!I5</f>
        <v>758448</v>
      </c>
      <c r="D3" s="516">
        <v>379449</v>
      </c>
      <c r="E3" s="516">
        <f>מוניצ!K5</f>
        <v>770000</v>
      </c>
      <c r="F3" s="516">
        <f>מוניצ!W5</f>
        <v>770000</v>
      </c>
    </row>
    <row r="4" spans="1:6" x14ac:dyDescent="0.2">
      <c r="A4" s="518">
        <v>611200.11</v>
      </c>
      <c r="B4" s="519" t="s">
        <v>560</v>
      </c>
      <c r="C4" s="516">
        <f>מוניצ!I7</f>
        <v>142803</v>
      </c>
      <c r="D4" s="516">
        <v>73512</v>
      </c>
      <c r="E4" s="516">
        <f>מוניצ!K7</f>
        <v>147000</v>
      </c>
      <c r="F4" s="516">
        <f>מוניצ!W7</f>
        <v>147000</v>
      </c>
    </row>
    <row r="5" spans="1:6" x14ac:dyDescent="0.2">
      <c r="A5" s="518">
        <v>612000.11</v>
      </c>
      <c r="B5" s="519" t="s">
        <v>562</v>
      </c>
      <c r="C5" s="516">
        <f>מוניצ!I9</f>
        <v>193316</v>
      </c>
      <c r="D5" s="516">
        <v>102657</v>
      </c>
      <c r="E5" s="516">
        <f>מוניצ!K9</f>
        <v>289166.66666666669</v>
      </c>
      <c r="F5" s="516">
        <f>מוניצ!W9</f>
        <v>420000</v>
      </c>
    </row>
    <row r="6" spans="1:6" x14ac:dyDescent="0.2">
      <c r="A6" s="518">
        <v>613000.11</v>
      </c>
      <c r="B6" s="519" t="s">
        <v>564</v>
      </c>
      <c r="C6" s="516">
        <f>מוניצ!I12</f>
        <v>459188</v>
      </c>
      <c r="D6" s="516">
        <v>236690</v>
      </c>
      <c r="E6" s="516">
        <f>מוניצ!K12</f>
        <v>499666.66666666663</v>
      </c>
      <c r="F6" s="516">
        <f>מוניצ!W12</f>
        <v>573000</v>
      </c>
    </row>
    <row r="7" spans="1:6" x14ac:dyDescent="0.2">
      <c r="A7" s="518">
        <v>615000.11</v>
      </c>
      <c r="B7" s="519" t="s">
        <v>573</v>
      </c>
      <c r="C7" s="516">
        <f>מוניצ!I21</f>
        <v>544112</v>
      </c>
      <c r="D7" s="516">
        <v>286329</v>
      </c>
      <c r="E7" s="516">
        <f>מוניצ!K21</f>
        <v>539000</v>
      </c>
      <c r="F7" s="516">
        <f>מוניצ!W21</f>
        <v>539000</v>
      </c>
    </row>
    <row r="8" spans="1:6" x14ac:dyDescent="0.2">
      <c r="A8" s="518">
        <v>615100.11</v>
      </c>
      <c r="B8" s="519" t="s">
        <v>574</v>
      </c>
      <c r="C8" s="516">
        <f>מוניצ!I24</f>
        <v>151236</v>
      </c>
      <c r="D8" s="516">
        <v>76396</v>
      </c>
      <c r="E8" s="516">
        <f>מוניצ!K24</f>
        <v>153000</v>
      </c>
      <c r="F8" s="516">
        <f>מוניצ!W24</f>
        <v>153000</v>
      </c>
    </row>
    <row r="9" spans="1:6" s="653" customFormat="1" ht="15.75" x14ac:dyDescent="0.25">
      <c r="A9" s="474" t="s">
        <v>580</v>
      </c>
      <c r="B9" s="475" t="s">
        <v>581</v>
      </c>
      <c r="C9" s="476">
        <f>SUM(C3:C8)</f>
        <v>2249103</v>
      </c>
      <c r="D9" s="476">
        <f>SUM(D3:D8)</f>
        <v>1155033</v>
      </c>
      <c r="E9" s="476">
        <f>SUM(E3:E8)</f>
        <v>2397833.3333333335</v>
      </c>
      <c r="F9" s="476">
        <f>SUM(F3:F8)</f>
        <v>2602000</v>
      </c>
    </row>
    <row r="10" spans="1:6" s="654" customFormat="1" ht="15" x14ac:dyDescent="0.25">
      <c r="A10" s="414"/>
      <c r="B10" s="459"/>
      <c r="C10" s="516"/>
      <c r="D10" s="604"/>
      <c r="E10" s="516"/>
      <c r="F10" s="516"/>
    </row>
    <row r="11" spans="1:6" s="654" customFormat="1" x14ac:dyDescent="0.2">
      <c r="A11" s="518">
        <v>621000.11</v>
      </c>
      <c r="B11" s="519" t="s">
        <v>582</v>
      </c>
      <c r="C11" s="516">
        <f>מוניצ!I27</f>
        <v>318432</v>
      </c>
      <c r="D11" s="516">
        <v>164688</v>
      </c>
      <c r="E11" s="516">
        <f>מוניצ!K27</f>
        <v>406666.66666666669</v>
      </c>
      <c r="F11" s="516">
        <f>מוניצ!W27</f>
        <v>420000</v>
      </c>
    </row>
    <row r="12" spans="1:6" s="654" customFormat="1" x14ac:dyDescent="0.2">
      <c r="A12" s="518">
        <v>621500.11</v>
      </c>
      <c r="B12" s="519" t="s">
        <v>585</v>
      </c>
      <c r="C12" s="516">
        <f>מוניצ!I29</f>
        <v>177357</v>
      </c>
      <c r="D12" s="516">
        <v>88038</v>
      </c>
      <c r="E12" s="516">
        <f>מוניצ!K29</f>
        <v>178000</v>
      </c>
      <c r="F12" s="516">
        <f>מוניצ!W29</f>
        <v>178000</v>
      </c>
    </row>
    <row r="13" spans="1:6" s="654" customFormat="1" x14ac:dyDescent="0.2">
      <c r="A13" s="518">
        <v>623000.11</v>
      </c>
      <c r="B13" s="519" t="s">
        <v>587</v>
      </c>
      <c r="C13" s="516">
        <f>מוניצ!I34</f>
        <v>336765</v>
      </c>
      <c r="D13" s="516">
        <v>171677</v>
      </c>
      <c r="E13" s="516">
        <f>מוניצ!K34</f>
        <v>328312.41666666669</v>
      </c>
      <c r="F13" s="516">
        <f>מוניצ!W34</f>
        <v>334000</v>
      </c>
    </row>
    <row r="14" spans="1:6" s="653" customFormat="1" ht="15.75" x14ac:dyDescent="0.25">
      <c r="A14" s="474" t="s">
        <v>597</v>
      </c>
      <c r="B14" s="475" t="s">
        <v>598</v>
      </c>
      <c r="C14" s="476">
        <f>SUM(C11:C13)</f>
        <v>832554</v>
      </c>
      <c r="D14" s="476">
        <f>SUM(D11:D13)</f>
        <v>424403</v>
      </c>
      <c r="E14" s="476">
        <f>SUM(E11:E13)</f>
        <v>912979.08333333349</v>
      </c>
      <c r="F14" s="476">
        <f>SUM(F11:F13)</f>
        <v>932000</v>
      </c>
    </row>
    <row r="15" spans="1:6" s="654" customFormat="1" x14ac:dyDescent="0.2">
      <c r="A15" s="414"/>
      <c r="B15" s="459"/>
      <c r="C15" s="516"/>
      <c r="D15" s="552"/>
      <c r="E15" s="516"/>
      <c r="F15" s="516"/>
    </row>
    <row r="16" spans="1:6" s="654" customFormat="1" x14ac:dyDescent="0.2">
      <c r="A16" s="518"/>
      <c r="B16" s="868"/>
      <c r="C16" s="516"/>
      <c r="D16" s="552"/>
      <c r="E16" s="516"/>
      <c r="F16" s="516"/>
    </row>
    <row r="17" spans="1:6" s="655" customFormat="1" ht="18.75" x14ac:dyDescent="0.3">
      <c r="A17" s="869" t="s">
        <v>399</v>
      </c>
      <c r="B17" s="870" t="s">
        <v>608</v>
      </c>
      <c r="C17" s="871">
        <f>C9+C14</f>
        <v>3081657</v>
      </c>
      <c r="D17" s="871">
        <f t="shared" ref="D17:F17" si="0">D9+D14</f>
        <v>1579436</v>
      </c>
      <c r="E17" s="871">
        <f t="shared" si="0"/>
        <v>3310812.416666667</v>
      </c>
      <c r="F17" s="871">
        <f t="shared" si="0"/>
        <v>3534000</v>
      </c>
    </row>
    <row r="18" spans="1:6" s="654" customFormat="1" x14ac:dyDescent="0.2">
      <c r="A18" s="518"/>
      <c r="B18" s="519"/>
      <c r="C18" s="516"/>
      <c r="D18" s="552"/>
      <c r="E18" s="516"/>
      <c r="F18" s="516"/>
    </row>
    <row r="19" spans="1:6" s="654" customFormat="1" x14ac:dyDescent="0.2">
      <c r="A19" s="518">
        <v>711100.11</v>
      </c>
      <c r="B19" s="519" t="s">
        <v>611</v>
      </c>
      <c r="C19" s="516">
        <f>מוניצ!I36</f>
        <v>116168</v>
      </c>
      <c r="D19" s="516">
        <v>57656</v>
      </c>
      <c r="E19" s="516">
        <f>מוניצ!K36</f>
        <v>120000</v>
      </c>
      <c r="F19" s="516">
        <f>מוניצ!W36</f>
        <v>120000</v>
      </c>
    </row>
    <row r="20" spans="1:6" s="654" customFormat="1" x14ac:dyDescent="0.2">
      <c r="A20" s="518">
        <v>712200.11</v>
      </c>
      <c r="B20" s="519" t="s">
        <v>612</v>
      </c>
      <c r="C20" s="516">
        <f>מוניצ!I38</f>
        <v>89705</v>
      </c>
      <c r="D20" s="516">
        <v>43060</v>
      </c>
      <c r="E20" s="516">
        <f>מוניצ!K38</f>
        <v>90000</v>
      </c>
      <c r="F20" s="516">
        <f>מוניצ!W38</f>
        <v>90000</v>
      </c>
    </row>
    <row r="21" spans="1:6" s="654" customFormat="1" x14ac:dyDescent="0.2">
      <c r="A21" s="518">
        <v>713000.11</v>
      </c>
      <c r="B21" s="519" t="s">
        <v>615</v>
      </c>
      <c r="C21" s="516">
        <f>מוניצ!I41</f>
        <v>205329</v>
      </c>
      <c r="D21" s="516">
        <v>97936</v>
      </c>
      <c r="E21" s="516">
        <f>מוניצ!K41</f>
        <v>200083</v>
      </c>
      <c r="F21" s="516">
        <f>מוניצ!W41</f>
        <v>0</v>
      </c>
    </row>
    <row r="22" spans="1:6" s="654" customFormat="1" x14ac:dyDescent="0.2">
      <c r="A22" s="518">
        <v>713300.11</v>
      </c>
      <c r="B22" s="519" t="s">
        <v>620</v>
      </c>
      <c r="C22" s="516">
        <f>מוניצ!I43</f>
        <v>0</v>
      </c>
      <c r="D22" s="516">
        <v>0</v>
      </c>
      <c r="E22" s="516">
        <f>מוניצ!K43</f>
        <v>30000</v>
      </c>
      <c r="F22" s="516">
        <f>מוניצ!W43</f>
        <v>60000</v>
      </c>
    </row>
    <row r="23" spans="1:6" s="654" customFormat="1" x14ac:dyDescent="0.2">
      <c r="A23" s="518">
        <v>714100.11</v>
      </c>
      <c r="B23" s="519" t="s">
        <v>621</v>
      </c>
      <c r="C23" s="516">
        <f>מוניצ!I45</f>
        <v>89558</v>
      </c>
      <c r="D23" s="516">
        <v>37411</v>
      </c>
      <c r="E23" s="516">
        <f>מוניצ!K45</f>
        <v>90000</v>
      </c>
      <c r="F23" s="516">
        <f>מוניצ!W45</f>
        <v>90000</v>
      </c>
    </row>
    <row r="24" spans="1:6" s="653" customFormat="1" ht="15.75" x14ac:dyDescent="0.25">
      <c r="A24" s="474" t="s">
        <v>624</v>
      </c>
      <c r="B24" s="475" t="s">
        <v>625</v>
      </c>
      <c r="C24" s="476">
        <f>SUM(C19:C23)</f>
        <v>500760</v>
      </c>
      <c r="D24" s="476">
        <f>SUM(D19:D23)</f>
        <v>236063</v>
      </c>
      <c r="E24" s="476">
        <f>SUM(E19:E23)</f>
        <v>530083</v>
      </c>
      <c r="F24" s="476">
        <f>SUM(F19:F23)</f>
        <v>360000</v>
      </c>
    </row>
    <row r="25" spans="1:6" s="654" customFormat="1" x14ac:dyDescent="0.2">
      <c r="A25" s="518"/>
      <c r="B25" s="519"/>
      <c r="C25" s="516"/>
      <c r="D25" s="552"/>
      <c r="E25" s="516"/>
      <c r="F25" s="516"/>
    </row>
    <row r="26" spans="1:6" s="654" customFormat="1" x14ac:dyDescent="0.2">
      <c r="A26" s="518"/>
      <c r="B26" s="855"/>
      <c r="C26" s="516"/>
      <c r="D26" s="552"/>
      <c r="E26" s="516"/>
      <c r="F26" s="516"/>
    </row>
    <row r="27" spans="1:6" s="654" customFormat="1" x14ac:dyDescent="0.2">
      <c r="A27" s="518">
        <v>731000.11</v>
      </c>
      <c r="B27" s="519" t="s">
        <v>633</v>
      </c>
      <c r="C27" s="516">
        <f>מוניצ!I51</f>
        <v>555497</v>
      </c>
      <c r="D27" s="516">
        <v>276575</v>
      </c>
      <c r="E27" s="516">
        <f>מוניצ!K51</f>
        <v>573300</v>
      </c>
      <c r="F27" s="516">
        <f>מוניצ!W51</f>
        <v>583300</v>
      </c>
    </row>
    <row r="28" spans="1:6" s="653" customFormat="1" ht="15.75" x14ac:dyDescent="0.25">
      <c r="A28" s="474" t="s">
        <v>637</v>
      </c>
      <c r="B28" s="475" t="s">
        <v>638</v>
      </c>
      <c r="C28" s="476">
        <f>SUM(C27:C27)</f>
        <v>555497</v>
      </c>
      <c r="D28" s="476">
        <f>SUM(D27:D27)</f>
        <v>276575</v>
      </c>
      <c r="E28" s="476">
        <f>SUM(E27:E27)</f>
        <v>573300</v>
      </c>
      <c r="F28" s="476">
        <f>SUM(F27:F27)</f>
        <v>583300</v>
      </c>
    </row>
    <row r="29" spans="1:6" s="654" customFormat="1" x14ac:dyDescent="0.2">
      <c r="A29" s="414"/>
      <c r="B29" s="459"/>
      <c r="C29" s="516"/>
      <c r="D29" s="552"/>
      <c r="E29" s="516"/>
      <c r="F29" s="516"/>
    </row>
    <row r="30" spans="1:6" s="654" customFormat="1" x14ac:dyDescent="0.2">
      <c r="A30" s="518">
        <v>742200.11</v>
      </c>
      <c r="B30" s="519" t="s">
        <v>640</v>
      </c>
      <c r="C30" s="516">
        <f>מוניצ!I60</f>
        <v>824117</v>
      </c>
      <c r="D30" s="516">
        <v>430242</v>
      </c>
      <c r="E30" s="516">
        <f>מוניצ!K60</f>
        <v>712000</v>
      </c>
      <c r="F30" s="516">
        <f>מוניצ!W60</f>
        <v>746000</v>
      </c>
    </row>
    <row r="31" spans="1:6" s="653" customFormat="1" ht="15.75" x14ac:dyDescent="0.25">
      <c r="A31" s="474" t="s">
        <v>651</v>
      </c>
      <c r="B31" s="475" t="s">
        <v>652</v>
      </c>
      <c r="C31" s="476">
        <f>SUM(C30:C30)</f>
        <v>824117</v>
      </c>
      <c r="D31" s="476">
        <f>SUM(D30:D30)</f>
        <v>430242</v>
      </c>
      <c r="E31" s="476">
        <f>SUM(E30:E30)</f>
        <v>712000</v>
      </c>
      <c r="F31" s="476">
        <f>SUM(F30:F30)</f>
        <v>746000</v>
      </c>
    </row>
    <row r="32" spans="1:6" s="654" customFormat="1" x14ac:dyDescent="0.2">
      <c r="A32" s="414"/>
      <c r="B32" s="459"/>
      <c r="C32" s="516"/>
      <c r="D32" s="552"/>
      <c r="E32" s="516"/>
      <c r="F32" s="516"/>
    </row>
    <row r="33" spans="1:6" s="654" customFormat="1" ht="15.75" x14ac:dyDescent="0.25">
      <c r="A33" s="518"/>
      <c r="B33" s="475"/>
      <c r="C33" s="475"/>
      <c r="D33" s="475"/>
      <c r="E33" s="475"/>
      <c r="F33" s="475"/>
    </row>
    <row r="34" spans="1:6" s="655" customFormat="1" ht="18.75" x14ac:dyDescent="0.3">
      <c r="A34" s="869" t="s">
        <v>408</v>
      </c>
      <c r="B34" s="870" t="s">
        <v>658</v>
      </c>
      <c r="C34" s="871">
        <f>C24+C28+C31</f>
        <v>1880374</v>
      </c>
      <c r="D34" s="871">
        <f t="shared" ref="D34:F34" si="1">D24+D28+D31</f>
        <v>942880</v>
      </c>
      <c r="E34" s="871">
        <f t="shared" si="1"/>
        <v>1815383</v>
      </c>
      <c r="F34" s="871">
        <f t="shared" si="1"/>
        <v>1689300</v>
      </c>
    </row>
    <row r="35" spans="1:6" s="655" customFormat="1" ht="18.75" x14ac:dyDescent="0.3">
      <c r="A35" s="869"/>
      <c r="B35" s="870"/>
      <c r="C35" s="871"/>
      <c r="D35" s="657"/>
      <c r="E35" s="871"/>
      <c r="F35" s="871"/>
    </row>
    <row r="36" spans="1:6" s="509" customFormat="1" x14ac:dyDescent="0.2">
      <c r="A36" s="518">
        <v>823000.11</v>
      </c>
      <c r="B36" s="519" t="s">
        <v>759</v>
      </c>
      <c r="C36" s="516">
        <f>מוניצ!I62</f>
        <v>80526</v>
      </c>
      <c r="D36" s="516">
        <v>39176</v>
      </c>
      <c r="E36" s="516">
        <f>מוניצ!K61</f>
        <v>82000</v>
      </c>
      <c r="F36" s="516">
        <f>מוניצ!W61</f>
        <v>82000</v>
      </c>
    </row>
    <row r="37" spans="1:6" s="654" customFormat="1" x14ac:dyDescent="0.2">
      <c r="A37" s="518">
        <v>824000.11</v>
      </c>
      <c r="B37" s="519" t="s">
        <v>760</v>
      </c>
      <c r="C37" s="516">
        <f>מוניצ!I66</f>
        <v>104380</v>
      </c>
      <c r="D37" s="516">
        <v>52117</v>
      </c>
      <c r="E37" s="516">
        <f>מוניצ!K66</f>
        <v>155000</v>
      </c>
      <c r="F37" s="516">
        <f>מוניצ!W66</f>
        <v>175000</v>
      </c>
    </row>
    <row r="38" spans="1:6" s="654" customFormat="1" x14ac:dyDescent="0.2">
      <c r="A38" s="518">
        <v>825000.11</v>
      </c>
      <c r="B38" s="519" t="s">
        <v>765</v>
      </c>
      <c r="C38" s="516">
        <f>מוניצ!I68</f>
        <v>56172</v>
      </c>
      <c r="D38" s="516">
        <v>29121</v>
      </c>
      <c r="E38" s="516">
        <f>מוניצ!K68</f>
        <v>57000</v>
      </c>
      <c r="F38" s="516">
        <f>מוניצ!W68</f>
        <v>57000</v>
      </c>
    </row>
    <row r="39" spans="1:6" s="654" customFormat="1" x14ac:dyDescent="0.2">
      <c r="A39" s="518"/>
      <c r="B39" s="459" t="s">
        <v>769</v>
      </c>
      <c r="C39" s="460">
        <f>SUM(C36:C38)</f>
        <v>241078</v>
      </c>
      <c r="D39" s="460">
        <f>SUM(D36:D38)</f>
        <v>120414</v>
      </c>
      <c r="E39" s="460">
        <f>SUM(E36:E38)</f>
        <v>294000</v>
      </c>
      <c r="F39" s="460">
        <f>SUM(F36:F38)</f>
        <v>314000</v>
      </c>
    </row>
    <row r="40" spans="1:6" s="654" customFormat="1" x14ac:dyDescent="0.2">
      <c r="A40" s="518"/>
      <c r="B40" s="855"/>
      <c r="C40" s="516"/>
      <c r="D40" s="552"/>
      <c r="E40" s="516"/>
      <c r="F40" s="516"/>
    </row>
    <row r="41" spans="1:6" s="654" customFormat="1" x14ac:dyDescent="0.2">
      <c r="A41" s="518">
        <v>828100.11</v>
      </c>
      <c r="B41" s="519" t="s">
        <v>770</v>
      </c>
      <c r="C41" s="516">
        <f>מוניצ!I73</f>
        <v>225161</v>
      </c>
      <c r="D41" s="516">
        <v>114946</v>
      </c>
      <c r="E41" s="516">
        <f>מוניצ!K73</f>
        <v>282000</v>
      </c>
      <c r="F41" s="516">
        <f>מוניצ!W73</f>
        <v>282000</v>
      </c>
    </row>
    <row r="42" spans="1:6" s="654" customFormat="1" x14ac:dyDescent="0.2">
      <c r="A42" s="518"/>
      <c r="B42" s="459" t="s">
        <v>774</v>
      </c>
      <c r="C42" s="460">
        <f>SUM(C41:C41)</f>
        <v>225161</v>
      </c>
      <c r="D42" s="460">
        <f>SUM(D41:D41)</f>
        <v>114946</v>
      </c>
      <c r="E42" s="460">
        <f>SUM(E41:E41)</f>
        <v>282000</v>
      </c>
      <c r="F42" s="460">
        <f>SUM(F41:F41)</f>
        <v>282000</v>
      </c>
    </row>
    <row r="43" spans="1:6" s="654" customFormat="1" x14ac:dyDescent="0.2">
      <c r="A43" s="518"/>
      <c r="B43" s="855"/>
      <c r="C43" s="516"/>
      <c r="D43" s="552"/>
      <c r="E43" s="516"/>
      <c r="F43" s="516"/>
    </row>
    <row r="44" spans="1:6" s="654" customFormat="1" x14ac:dyDescent="0.2">
      <c r="A44" s="518">
        <v>829000.11</v>
      </c>
      <c r="B44" s="519" t="s">
        <v>775</v>
      </c>
      <c r="C44" s="516">
        <f>מוניצ!I79</f>
        <v>366790</v>
      </c>
      <c r="D44" s="516">
        <v>192360</v>
      </c>
      <c r="E44" s="516">
        <f>מוניצ!K79</f>
        <v>264000</v>
      </c>
      <c r="F44" s="516">
        <f>מוניצ!W79</f>
        <v>304000</v>
      </c>
    </row>
    <row r="45" spans="1:6" s="378" customFormat="1" x14ac:dyDescent="0.2">
      <c r="A45" s="518"/>
      <c r="B45" s="459" t="s">
        <v>778</v>
      </c>
      <c r="C45" s="460">
        <f>SUM(C44:C44)</f>
        <v>366790</v>
      </c>
      <c r="D45" s="460">
        <f>SUM(D44:D44)</f>
        <v>192360</v>
      </c>
      <c r="E45" s="460">
        <f>SUM(E44:E44)</f>
        <v>264000</v>
      </c>
      <c r="F45" s="460">
        <f>SUM(F44:F44)</f>
        <v>304000</v>
      </c>
    </row>
    <row r="46" spans="1:6" s="654" customFormat="1" x14ac:dyDescent="0.2">
      <c r="A46" s="518"/>
      <c r="B46" s="459"/>
      <c r="C46" s="516"/>
      <c r="D46" s="552"/>
      <c r="E46" s="516"/>
      <c r="F46" s="516"/>
    </row>
    <row r="47" spans="1:6" s="653" customFormat="1" ht="15.75" x14ac:dyDescent="0.25">
      <c r="A47" s="474" t="s">
        <v>779</v>
      </c>
      <c r="B47" s="475" t="s">
        <v>780</v>
      </c>
      <c r="C47" s="476">
        <f>C39+C42+C45</f>
        <v>833029</v>
      </c>
      <c r="D47" s="476">
        <f>D39+D42+D45</f>
        <v>427720</v>
      </c>
      <c r="E47" s="476">
        <f>E39+E42+E45</f>
        <v>840000</v>
      </c>
      <c r="F47" s="476">
        <f>F39+F42+F45</f>
        <v>900000</v>
      </c>
    </row>
    <row r="48" spans="1:6" s="654" customFormat="1" x14ac:dyDescent="0.2">
      <c r="A48" s="518"/>
      <c r="B48" s="855"/>
      <c r="C48" s="516"/>
      <c r="D48" s="552"/>
      <c r="E48" s="516"/>
      <c r="F48" s="516"/>
    </row>
    <row r="49" spans="1:6" x14ac:dyDescent="0.2">
      <c r="A49" s="518">
        <v>832400.11</v>
      </c>
      <c r="B49" s="519" t="s">
        <v>781</v>
      </c>
      <c r="C49" s="516">
        <f>מוניצ!I81</f>
        <v>59330</v>
      </c>
      <c r="D49" s="516">
        <v>30708</v>
      </c>
      <c r="E49" s="516">
        <f>מוניצ!K81</f>
        <v>60000</v>
      </c>
      <c r="F49" s="516">
        <f>מוניצ!W81</f>
        <v>60000</v>
      </c>
    </row>
    <row r="50" spans="1:6" x14ac:dyDescent="0.2">
      <c r="A50" s="414" t="s">
        <v>782</v>
      </c>
      <c r="B50" s="459" t="s">
        <v>783</v>
      </c>
      <c r="C50" s="460">
        <f>SUM(C49:C49)</f>
        <v>59330</v>
      </c>
      <c r="D50" s="460">
        <f t="shared" ref="D50:F50" si="2">SUM(D49:D49)</f>
        <v>30708</v>
      </c>
      <c r="E50" s="460">
        <f t="shared" si="2"/>
        <v>60000</v>
      </c>
      <c r="F50" s="460">
        <f t="shared" si="2"/>
        <v>60000</v>
      </c>
    </row>
    <row r="51" spans="1:6" x14ac:dyDescent="0.2">
      <c r="A51" s="518"/>
      <c r="B51" s="855"/>
      <c r="C51" s="516"/>
      <c r="D51" s="523"/>
      <c r="E51" s="516"/>
      <c r="F51" s="516"/>
    </row>
    <row r="52" spans="1:6" s="653" customFormat="1" ht="15.75" x14ac:dyDescent="0.25">
      <c r="A52" s="474" t="s">
        <v>789</v>
      </c>
      <c r="B52" s="475" t="s">
        <v>790</v>
      </c>
      <c r="C52" s="476">
        <f>C50</f>
        <v>59330</v>
      </c>
      <c r="D52" s="476">
        <f t="shared" ref="D52:F52" si="3">D50</f>
        <v>30708</v>
      </c>
      <c r="E52" s="476">
        <f t="shared" si="3"/>
        <v>60000</v>
      </c>
      <c r="F52" s="476">
        <f t="shared" si="3"/>
        <v>60000</v>
      </c>
    </row>
    <row r="53" spans="1:6" s="659" customFormat="1" x14ac:dyDescent="0.2">
      <c r="A53" s="518"/>
      <c r="B53" s="855"/>
      <c r="C53" s="516"/>
      <c r="D53" s="525"/>
      <c r="E53" s="516"/>
      <c r="F53" s="516"/>
    </row>
    <row r="54" spans="1:6" x14ac:dyDescent="0.2">
      <c r="A54" s="861"/>
      <c r="B54" s="855"/>
      <c r="C54" s="862"/>
      <c r="D54" s="523"/>
      <c r="E54" s="862"/>
      <c r="F54" s="862"/>
    </row>
    <row r="55" spans="1:6" s="655" customFormat="1" ht="18.75" x14ac:dyDescent="0.3">
      <c r="A55" s="869" t="s">
        <v>882</v>
      </c>
      <c r="B55" s="870" t="s">
        <v>883</v>
      </c>
      <c r="C55" s="871">
        <f>C52+C47</f>
        <v>892359</v>
      </c>
      <c r="D55" s="871">
        <f t="shared" ref="D55:F55" si="4">D52+D47</f>
        <v>458428</v>
      </c>
      <c r="E55" s="871">
        <f t="shared" si="4"/>
        <v>900000</v>
      </c>
      <c r="F55" s="871">
        <f t="shared" si="4"/>
        <v>960000</v>
      </c>
    </row>
    <row r="56" spans="1:6" s="659" customFormat="1" x14ac:dyDescent="0.2">
      <c r="A56" s="872"/>
      <c r="B56" s="855"/>
      <c r="C56" s="516"/>
      <c r="D56" s="552"/>
      <c r="E56" s="516"/>
      <c r="F56" s="516"/>
    </row>
    <row r="57" spans="1:6" s="659" customFormat="1" x14ac:dyDescent="0.2">
      <c r="A57" s="518">
        <v>913000.11</v>
      </c>
      <c r="B57" s="519" t="s">
        <v>884</v>
      </c>
      <c r="C57" s="516">
        <f>מוניצ!I86</f>
        <v>388459</v>
      </c>
      <c r="D57" s="516">
        <v>198114</v>
      </c>
      <c r="E57" s="516">
        <f>מוניצ!K86</f>
        <v>377000</v>
      </c>
      <c r="F57" s="516">
        <f>מוניצ!W86</f>
        <v>122000</v>
      </c>
    </row>
    <row r="58" spans="1:6" s="653" customFormat="1" ht="15.75" x14ac:dyDescent="0.25">
      <c r="A58" s="474" t="s">
        <v>893</v>
      </c>
      <c r="B58" s="475" t="s">
        <v>894</v>
      </c>
      <c r="C58" s="476">
        <f>SUM(C57:C57)</f>
        <v>388459</v>
      </c>
      <c r="D58" s="476">
        <f>SUM(D57:D57)</f>
        <v>198114</v>
      </c>
      <c r="E58" s="476">
        <f>SUM(E57:E57)</f>
        <v>377000</v>
      </c>
      <c r="F58" s="476">
        <f>SUM(F57:F57)</f>
        <v>122000</v>
      </c>
    </row>
    <row r="59" spans="1:6" ht="18" customHeight="1" x14ac:dyDescent="0.2">
      <c r="A59" s="518"/>
      <c r="B59" s="519"/>
      <c r="C59" s="516"/>
      <c r="D59" s="552"/>
      <c r="E59" s="516"/>
      <c r="F59" s="516"/>
    </row>
    <row r="60" spans="1:6" ht="18" customHeight="1" x14ac:dyDescent="0.2">
      <c r="A60" s="518">
        <v>996000.11</v>
      </c>
      <c r="B60" s="519" t="s">
        <v>909</v>
      </c>
      <c r="C60" s="516">
        <v>3714488</v>
      </c>
      <c r="D60" s="552">
        <v>1842760</v>
      </c>
      <c r="E60" s="516">
        <v>3962500</v>
      </c>
      <c r="F60" s="516">
        <v>3962500</v>
      </c>
    </row>
    <row r="61" spans="1:6" x14ac:dyDescent="0.2">
      <c r="A61" s="518">
        <v>996000.22</v>
      </c>
      <c r="B61" s="519" t="s">
        <v>1774</v>
      </c>
      <c r="C61" s="516">
        <v>0</v>
      </c>
      <c r="D61" s="516">
        <v>0</v>
      </c>
      <c r="E61" s="516">
        <f>1745753-90000</f>
        <v>1655753</v>
      </c>
      <c r="F61" s="516">
        <v>0</v>
      </c>
    </row>
    <row r="62" spans="1:6" s="653" customFormat="1" ht="15.75" x14ac:dyDescent="0.25">
      <c r="A62" s="474" t="s">
        <v>912</v>
      </c>
      <c r="B62" s="475" t="s">
        <v>913</v>
      </c>
      <c r="C62" s="476">
        <f t="shared" ref="C62:D62" si="5">SUM(C60:C61)</f>
        <v>3714488</v>
      </c>
      <c r="D62" s="476">
        <f t="shared" si="5"/>
        <v>1842760</v>
      </c>
      <c r="E62" s="476">
        <f>SUM(E60:E61)</f>
        <v>5618253</v>
      </c>
      <c r="F62" s="476">
        <f>SUM(F60:F61)</f>
        <v>3962500</v>
      </c>
    </row>
    <row r="63" spans="1:6" x14ac:dyDescent="0.2">
      <c r="A63" s="414"/>
      <c r="B63" s="863"/>
      <c r="C63" s="516"/>
      <c r="D63" s="523"/>
      <c r="E63" s="516"/>
      <c r="F63" s="516"/>
    </row>
    <row r="64" spans="1:6" s="655" customFormat="1" ht="18.75" x14ac:dyDescent="0.3">
      <c r="A64" s="869" t="s">
        <v>914</v>
      </c>
      <c r="B64" s="870" t="s">
        <v>140</v>
      </c>
      <c r="C64" s="871">
        <f>C62+C58</f>
        <v>4102947</v>
      </c>
      <c r="D64" s="871">
        <f>D62+D58</f>
        <v>2040874</v>
      </c>
      <c r="E64" s="871">
        <f>E62+E58</f>
        <v>5995253</v>
      </c>
      <c r="F64" s="871">
        <f>F62+F58</f>
        <v>4084500</v>
      </c>
    </row>
    <row r="65" spans="1:6" ht="15.75" x14ac:dyDescent="0.25">
      <c r="A65" s="518"/>
      <c r="B65" s="519"/>
      <c r="C65" s="753"/>
      <c r="D65" s="523"/>
      <c r="E65" s="753"/>
      <c r="F65" s="753"/>
    </row>
    <row r="66" spans="1:6" s="660" customFormat="1" ht="18.75" x14ac:dyDescent="0.3">
      <c r="A66" s="873"/>
      <c r="B66" s="874" t="s">
        <v>432</v>
      </c>
      <c r="C66" s="875">
        <f>C17+C34+C55+C64</f>
        <v>9957337</v>
      </c>
      <c r="D66" s="875">
        <f>D17+D34+D55+D64</f>
        <v>5021618</v>
      </c>
      <c r="E66" s="875">
        <f>E17+E34+E55+E64</f>
        <v>12021448.416666668</v>
      </c>
      <c r="F66" s="875">
        <f>F17+F34+F55+F64</f>
        <v>10267800</v>
      </c>
    </row>
    <row r="67" spans="1:6" ht="15.6" customHeight="1" x14ac:dyDescent="0.25">
      <c r="A67" s="518"/>
      <c r="B67" s="519"/>
      <c r="C67" s="753"/>
      <c r="D67" s="523"/>
      <c r="E67" s="753"/>
      <c r="F67" s="753"/>
    </row>
    <row r="68" spans="1:6" ht="15.6" customHeight="1" x14ac:dyDescent="0.2">
      <c r="C68" s="812"/>
      <c r="E68" s="812"/>
      <c r="F68" s="812"/>
    </row>
    <row r="69" spans="1:6" x14ac:dyDescent="0.2">
      <c r="C69" s="812">
        <f>'טבלה מעודכנת '!B29</f>
        <v>10395</v>
      </c>
      <c r="D69" s="812">
        <f>'טבלה מעודכנת '!C29</f>
        <v>5025</v>
      </c>
      <c r="E69" s="812">
        <f>'טבלה מעודכנת '!F29</f>
        <v>10395</v>
      </c>
      <c r="F69" s="812" t="e">
        <f>'טבלה מעודכנת '!I29</f>
        <v>#VALUE!</v>
      </c>
    </row>
    <row r="70" spans="1:6" x14ac:dyDescent="0.2">
      <c r="C70" s="513">
        <f>C66/1000-C69</f>
        <v>-437.66300000000047</v>
      </c>
      <c r="D70" s="513">
        <f t="shared" ref="D70:E70" si="6">D66/1000-D69</f>
        <v>-3.3819999999996071</v>
      </c>
      <c r="E70" s="513">
        <f t="shared" si="6"/>
        <v>1626.448416666668</v>
      </c>
      <c r="F70" s="513" t="e">
        <f>F66/1000-F69</f>
        <v>#VALUE!</v>
      </c>
    </row>
  </sheetData>
  <pageMargins left="0.25" right="0.25" top="0.75" bottom="0.75" header="0.3" footer="0.3"/>
  <pageSetup paperSize="9" orientation="portrait" r:id="rId1"/>
  <headerFooter>
    <oddHeader>&amp;C&amp;"David,מודגש"&amp;11&amp;Uמועצה מקומית עוספיה פירוט שכר כללי</oddHeader>
    <oddFooter>&amp;C&amp;"David,מודגש"&amp;11עמוד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showGridLines="0" rightToLeft="1" topLeftCell="B1" zoomScaleNormal="100" workbookViewId="0">
      <selection activeCell="A21" sqref="A18:K22"/>
    </sheetView>
  </sheetViews>
  <sheetFormatPr defaultColWidth="9.140625" defaultRowHeight="12.75" x14ac:dyDescent="0.2"/>
  <cols>
    <col min="1" max="1" width="9.140625" style="493" hidden="1" customWidth="1"/>
    <col min="2" max="2" width="11.7109375" style="529" bestFit="1" customWidth="1"/>
    <col min="3" max="3" width="33.28515625" style="530" bestFit="1" customWidth="1"/>
    <col min="4" max="4" width="12.140625" style="661" bestFit="1" customWidth="1"/>
    <col min="5" max="7" width="12.140625" style="493" hidden="1" customWidth="1"/>
    <col min="8" max="8" width="12.7109375" style="661" bestFit="1" customWidth="1"/>
    <col min="9" max="9" width="12.140625" style="661" bestFit="1" customWidth="1"/>
    <col min="10" max="11" width="9.140625" style="493" hidden="1" customWidth="1"/>
    <col min="12" max="12" width="11.140625" style="493" hidden="1" customWidth="1"/>
    <col min="13" max="19" width="9.140625" style="493" hidden="1" customWidth="1"/>
    <col min="20" max="20" width="9.28515625" style="493" hidden="1" customWidth="1"/>
    <col min="21" max="21" width="0" style="493" hidden="1" customWidth="1"/>
    <col min="22" max="16384" width="9.140625" style="493"/>
  </cols>
  <sheetData>
    <row r="1" spans="2:20" x14ac:dyDescent="0.2">
      <c r="B1" s="505" t="s">
        <v>539</v>
      </c>
      <c r="C1" s="506" t="s">
        <v>540</v>
      </c>
      <c r="D1" s="472" t="s">
        <v>541</v>
      </c>
      <c r="E1" s="472" t="s">
        <v>65</v>
      </c>
      <c r="F1" s="472" t="s">
        <v>1781</v>
      </c>
      <c r="G1" s="472" t="s">
        <v>67</v>
      </c>
      <c r="H1" s="472" t="s">
        <v>542</v>
      </c>
      <c r="I1" s="472" t="s">
        <v>542</v>
      </c>
    </row>
    <row r="2" spans="2:20" s="509" customFormat="1" x14ac:dyDescent="0.2">
      <c r="B2" s="507" t="s">
        <v>543</v>
      </c>
      <c r="C2" s="508" t="s">
        <v>544</v>
      </c>
      <c r="D2" s="472" t="s">
        <v>545</v>
      </c>
      <c r="E2" s="886" t="s">
        <v>1786</v>
      </c>
      <c r="F2" s="886" t="s">
        <v>1787</v>
      </c>
      <c r="G2" s="886" t="s">
        <v>545</v>
      </c>
      <c r="H2" s="472" t="s">
        <v>547</v>
      </c>
      <c r="I2" s="472" t="s">
        <v>548</v>
      </c>
    </row>
    <row r="3" spans="2:20" s="513" customFormat="1" x14ac:dyDescent="0.2">
      <c r="B3" s="510">
        <v>611000.47</v>
      </c>
      <c r="C3" s="473" t="s">
        <v>549</v>
      </c>
      <c r="D3" s="511">
        <v>20000</v>
      </c>
      <c r="E3" s="511">
        <v>51011</v>
      </c>
      <c r="F3" s="511">
        <f t="shared" ref="F3:F8" si="0">E3/11</f>
        <v>4637.363636363636</v>
      </c>
      <c r="G3" s="511">
        <f t="shared" ref="G3:G8" si="1">E3+F3</f>
        <v>55648.363636363632</v>
      </c>
      <c r="H3" s="512">
        <v>20000</v>
      </c>
      <c r="I3" s="512">
        <v>20000</v>
      </c>
      <c r="T3" s="812"/>
    </row>
    <row r="4" spans="2:20" x14ac:dyDescent="0.2">
      <c r="B4" s="510">
        <v>611000.522</v>
      </c>
      <c r="C4" s="473" t="s">
        <v>550</v>
      </c>
      <c r="D4" s="511">
        <v>7095</v>
      </c>
      <c r="E4" s="511">
        <v>6360</v>
      </c>
      <c r="F4" s="511">
        <f t="shared" si="0"/>
        <v>578.18181818181813</v>
      </c>
      <c r="G4" s="511">
        <f t="shared" si="1"/>
        <v>6938.181818181818</v>
      </c>
      <c r="H4" s="511">
        <v>7095</v>
      </c>
      <c r="I4" s="511">
        <v>7095</v>
      </c>
      <c r="T4" s="812"/>
    </row>
    <row r="5" spans="2:20" x14ac:dyDescent="0.2">
      <c r="B5" s="510">
        <v>611000.55000000005</v>
      </c>
      <c r="C5" s="473" t="s">
        <v>551</v>
      </c>
      <c r="D5" s="511">
        <v>50000</v>
      </c>
      <c r="E5" s="511">
        <v>32321</v>
      </c>
      <c r="F5" s="511">
        <f t="shared" si="0"/>
        <v>2938.2727272727275</v>
      </c>
      <c r="G5" s="511">
        <f t="shared" si="1"/>
        <v>35259.272727272728</v>
      </c>
      <c r="H5" s="512">
        <v>30000</v>
      </c>
      <c r="I5" s="512">
        <v>30000</v>
      </c>
      <c r="T5" s="812"/>
    </row>
    <row r="6" spans="2:20" x14ac:dyDescent="0.2">
      <c r="B6" s="510">
        <v>611000.56000000006</v>
      </c>
      <c r="C6" s="473" t="s">
        <v>552</v>
      </c>
      <c r="D6" s="511">
        <v>0</v>
      </c>
      <c r="E6" s="511">
        <v>0</v>
      </c>
      <c r="F6" s="511">
        <f t="shared" si="0"/>
        <v>0</v>
      </c>
      <c r="G6" s="511">
        <f t="shared" si="1"/>
        <v>0</v>
      </c>
      <c r="H6" s="512">
        <v>20000</v>
      </c>
      <c r="I6" s="512">
        <v>20000</v>
      </c>
      <c r="T6" s="812"/>
    </row>
    <row r="7" spans="2:20" x14ac:dyDescent="0.2">
      <c r="B7" s="510">
        <v>611000.72</v>
      </c>
      <c r="C7" s="473" t="s">
        <v>553</v>
      </c>
      <c r="D7" s="511">
        <v>2000</v>
      </c>
      <c r="E7" s="511">
        <v>1000</v>
      </c>
      <c r="F7" s="511">
        <f t="shared" si="0"/>
        <v>90.909090909090907</v>
      </c>
      <c r="G7" s="511">
        <f t="shared" si="1"/>
        <v>1090.909090909091</v>
      </c>
      <c r="H7" s="511">
        <v>2000</v>
      </c>
      <c r="I7" s="511">
        <v>2000</v>
      </c>
      <c r="K7" s="493" t="s">
        <v>303</v>
      </c>
      <c r="L7" s="493" t="s">
        <v>134</v>
      </c>
      <c r="M7" s="493" t="s">
        <v>131</v>
      </c>
      <c r="T7" s="812"/>
    </row>
    <row r="8" spans="2:20" x14ac:dyDescent="0.2">
      <c r="B8" s="510">
        <v>611000.78</v>
      </c>
      <c r="C8" s="473" t="s">
        <v>554</v>
      </c>
      <c r="D8" s="511">
        <v>19500</v>
      </c>
      <c r="E8" s="511">
        <v>17922</v>
      </c>
      <c r="F8" s="511">
        <f t="shared" si="0"/>
        <v>1629.2727272727273</v>
      </c>
      <c r="G8" s="511">
        <f t="shared" si="1"/>
        <v>19551.272727272728</v>
      </c>
      <c r="H8" s="512">
        <v>20000</v>
      </c>
      <c r="I8" s="512">
        <v>20000</v>
      </c>
      <c r="K8" s="514" t="e">
        <f>#REF!+#REF!+#REF!+#REF!+#REF!+#REF!+#REF!+#REF!+#REF!+#REF!+#REF!+#REF!+#REF!+#REF!+#REF!+#REF!+#REF!+#REF!+#REF!+#REF!+#REF!+#REF!+#REF!+#REF!+#REF!</f>
        <v>#REF!</v>
      </c>
      <c r="L8" s="514" t="e">
        <f>#REF!+#REF!+#REF!+#REF!</f>
        <v>#REF!</v>
      </c>
      <c r="M8" s="514" t="e">
        <f>#REF!+#REF!+#REF!+#REF!+#REF!+#REF!+#REF!+#REF!+#REF!+#REF!+#REF!+#REF!+#REF!+#REF!+#REF!+#REF!+#REF!+#REF!+#REF!+#REF!+#REF!+#REF!+#REF!+#REF!+#REF!+#REF!+#REF!+#REF!</f>
        <v>#REF!</v>
      </c>
      <c r="T8" s="812"/>
    </row>
    <row r="9" spans="2:20" x14ac:dyDescent="0.2">
      <c r="B9" s="510">
        <v>611000.85</v>
      </c>
      <c r="C9" s="473" t="s">
        <v>555</v>
      </c>
      <c r="D9" s="511">
        <v>155000</v>
      </c>
      <c r="E9" s="511">
        <v>69445</v>
      </c>
      <c r="F9" s="511">
        <f>G9-E9</f>
        <v>85555</v>
      </c>
      <c r="G9" s="511">
        <f>D9</f>
        <v>155000</v>
      </c>
      <c r="H9" s="511">
        <v>155000</v>
      </c>
      <c r="I9" s="511">
        <v>155000</v>
      </c>
      <c r="K9" s="493" t="e">
        <f>מוניצ!#REF!</f>
        <v>#REF!</v>
      </c>
      <c r="L9" s="514">
        <f>רווחה!X42</f>
        <v>2477818</v>
      </c>
      <c r="M9" s="514">
        <f>חינוך!W225</f>
        <v>75000</v>
      </c>
      <c r="T9" s="812"/>
    </row>
    <row r="10" spans="2:20" x14ac:dyDescent="0.2">
      <c r="B10" s="510">
        <v>611100.51</v>
      </c>
      <c r="C10" s="473" t="s">
        <v>557</v>
      </c>
      <c r="D10" s="511">
        <v>4000</v>
      </c>
      <c r="E10" s="511">
        <v>2850</v>
      </c>
      <c r="F10" s="511">
        <f t="shared" ref="F10:F16" si="2">E10/11</f>
        <v>259.09090909090907</v>
      </c>
      <c r="G10" s="511">
        <f t="shared" ref="G10:G16" si="3">E10+F10</f>
        <v>3109.090909090909</v>
      </c>
      <c r="H10" s="511">
        <v>4000</v>
      </c>
      <c r="I10" s="511">
        <v>4000</v>
      </c>
      <c r="T10" s="812"/>
    </row>
    <row r="11" spans="2:20" x14ac:dyDescent="0.2">
      <c r="B11" s="750">
        <v>611100.52300000004</v>
      </c>
      <c r="C11" s="751" t="s">
        <v>558</v>
      </c>
      <c r="D11" s="752">
        <v>50000</v>
      </c>
      <c r="E11" s="752">
        <v>48500</v>
      </c>
      <c r="F11" s="511">
        <f t="shared" si="2"/>
        <v>4409.090909090909</v>
      </c>
      <c r="G11" s="752">
        <f t="shared" si="3"/>
        <v>52909.090909090912</v>
      </c>
      <c r="H11" s="752">
        <v>50000</v>
      </c>
      <c r="I11" s="752">
        <v>50000</v>
      </c>
      <c r="K11" s="514"/>
      <c r="T11" s="812"/>
    </row>
    <row r="12" spans="2:20" x14ac:dyDescent="0.2">
      <c r="B12" s="510">
        <v>611100.54099999997</v>
      </c>
      <c r="C12" s="473" t="s">
        <v>559</v>
      </c>
      <c r="D12" s="511">
        <v>80000</v>
      </c>
      <c r="E12" s="511">
        <v>54470</v>
      </c>
      <c r="F12" s="511">
        <f t="shared" si="2"/>
        <v>4951.818181818182</v>
      </c>
      <c r="G12" s="511">
        <f t="shared" si="3"/>
        <v>59421.818181818184</v>
      </c>
      <c r="H12" s="511">
        <v>80000</v>
      </c>
      <c r="I12" s="511">
        <v>80000</v>
      </c>
      <c r="T12" s="812"/>
    </row>
    <row r="13" spans="2:20" s="515" customFormat="1" x14ac:dyDescent="0.2">
      <c r="B13" s="510">
        <v>611200.39099999995</v>
      </c>
      <c r="C13" s="473" t="s">
        <v>561</v>
      </c>
      <c r="D13" s="511">
        <v>52000</v>
      </c>
      <c r="E13" s="511">
        <v>43390</v>
      </c>
      <c r="F13" s="511">
        <f t="shared" si="2"/>
        <v>3944.5454545454545</v>
      </c>
      <c r="G13" s="511">
        <f t="shared" si="3"/>
        <v>47334.545454545456</v>
      </c>
      <c r="H13" s="511">
        <f>E13*2</f>
        <v>86780</v>
      </c>
      <c r="I13" s="511">
        <v>52614</v>
      </c>
      <c r="T13" s="812"/>
    </row>
    <row r="14" spans="2:20" x14ac:dyDescent="0.2">
      <c r="B14" s="510">
        <v>612000.78</v>
      </c>
      <c r="C14" s="473" t="s">
        <v>563</v>
      </c>
      <c r="D14" s="511">
        <v>1100</v>
      </c>
      <c r="E14" s="511">
        <v>1100</v>
      </c>
      <c r="F14" s="511">
        <f t="shared" si="2"/>
        <v>100</v>
      </c>
      <c r="G14" s="511">
        <f t="shared" si="3"/>
        <v>1200</v>
      </c>
      <c r="H14" s="512">
        <v>2000</v>
      </c>
      <c r="I14" s="512">
        <v>2000</v>
      </c>
      <c r="T14" s="812"/>
    </row>
    <row r="15" spans="2:20" x14ac:dyDescent="0.2">
      <c r="B15" s="510">
        <v>613000.42000000004</v>
      </c>
      <c r="C15" s="473" t="s">
        <v>565</v>
      </c>
      <c r="D15" s="511">
        <v>10000</v>
      </c>
      <c r="E15" s="511">
        <v>2726</v>
      </c>
      <c r="F15" s="511">
        <f t="shared" si="2"/>
        <v>247.81818181818181</v>
      </c>
      <c r="G15" s="511">
        <f t="shared" si="3"/>
        <v>2973.818181818182</v>
      </c>
      <c r="H15" s="512">
        <v>10000</v>
      </c>
      <c r="I15" s="512">
        <v>10000</v>
      </c>
      <c r="T15" s="812"/>
    </row>
    <row r="16" spans="2:20" x14ac:dyDescent="0.2">
      <c r="B16" s="510">
        <v>613000.43099999998</v>
      </c>
      <c r="C16" s="473" t="s">
        <v>566</v>
      </c>
      <c r="D16" s="516">
        <v>75000</v>
      </c>
      <c r="E16" s="511">
        <v>55001</v>
      </c>
      <c r="F16" s="511">
        <f t="shared" si="2"/>
        <v>5000.090909090909</v>
      </c>
      <c r="G16" s="511">
        <f t="shared" si="3"/>
        <v>60001.090909090912</v>
      </c>
      <c r="H16" s="511">
        <v>75000</v>
      </c>
      <c r="I16" s="511">
        <v>75000</v>
      </c>
      <c r="T16" s="812"/>
    </row>
    <row r="17" spans="2:21" x14ac:dyDescent="0.2">
      <c r="B17" s="510">
        <v>613000.43200000003</v>
      </c>
      <c r="C17" s="473" t="s">
        <v>567</v>
      </c>
      <c r="D17" s="516">
        <v>35000</v>
      </c>
      <c r="E17" s="511">
        <v>3598</v>
      </c>
      <c r="F17" s="511">
        <f>G17-E17</f>
        <v>31402</v>
      </c>
      <c r="G17" s="511">
        <f>D17</f>
        <v>35000</v>
      </c>
      <c r="H17" s="517">
        <v>35000</v>
      </c>
      <c r="I17" s="517">
        <v>35000</v>
      </c>
      <c r="T17" s="812"/>
    </row>
    <row r="18" spans="2:21" x14ac:dyDescent="0.2">
      <c r="B18" s="510">
        <v>613000.47</v>
      </c>
      <c r="C18" s="473" t="s">
        <v>568</v>
      </c>
      <c r="D18" s="511">
        <v>28000</v>
      </c>
      <c r="E18" s="511">
        <v>18767</v>
      </c>
      <c r="F18" s="511">
        <f t="shared" ref="F18:F25" si="4">E18/11</f>
        <v>1706.090909090909</v>
      </c>
      <c r="G18" s="511">
        <f t="shared" ref="G18:G25" si="5">E18+F18</f>
        <v>20473.090909090908</v>
      </c>
      <c r="H18" s="511">
        <v>28000</v>
      </c>
      <c r="I18" s="511">
        <v>28000</v>
      </c>
      <c r="T18" s="812"/>
    </row>
    <row r="19" spans="2:21" x14ac:dyDescent="0.2">
      <c r="B19" s="510">
        <v>613000.48</v>
      </c>
      <c r="C19" s="473" t="s">
        <v>569</v>
      </c>
      <c r="D19" s="511">
        <v>62000</v>
      </c>
      <c r="E19" s="511">
        <v>63307</v>
      </c>
      <c r="F19" s="511">
        <f t="shared" si="4"/>
        <v>5755.181818181818</v>
      </c>
      <c r="G19" s="511">
        <f t="shared" si="5"/>
        <v>69062.181818181823</v>
      </c>
      <c r="H19" s="511">
        <v>62000</v>
      </c>
      <c r="I19" s="511">
        <v>62000</v>
      </c>
      <c r="T19" s="812"/>
    </row>
    <row r="20" spans="2:21" x14ac:dyDescent="0.2">
      <c r="B20" s="510">
        <v>613000.54</v>
      </c>
      <c r="C20" s="473" t="s">
        <v>570</v>
      </c>
      <c r="D20" s="511">
        <v>135500</v>
      </c>
      <c r="E20" s="511">
        <v>109122</v>
      </c>
      <c r="F20" s="511">
        <f t="shared" si="4"/>
        <v>9920.181818181818</v>
      </c>
      <c r="G20" s="511">
        <f t="shared" si="5"/>
        <v>119042.18181818182</v>
      </c>
      <c r="H20" s="511">
        <v>135500</v>
      </c>
      <c r="I20" s="511">
        <v>135500</v>
      </c>
      <c r="T20" s="812"/>
    </row>
    <row r="21" spans="2:21" ht="1.5" customHeight="1" x14ac:dyDescent="0.2">
      <c r="B21" s="510">
        <v>613000.56999999995</v>
      </c>
      <c r="C21" s="473" t="s">
        <v>571</v>
      </c>
      <c r="D21" s="511">
        <v>348000</v>
      </c>
      <c r="E21" s="511">
        <v>342140</v>
      </c>
      <c r="F21" s="511">
        <f t="shared" si="4"/>
        <v>31103.636363636364</v>
      </c>
      <c r="G21" s="511">
        <f t="shared" si="5"/>
        <v>373243.63636363635</v>
      </c>
      <c r="H21" s="517">
        <v>348000</v>
      </c>
      <c r="I21" s="517">
        <v>348000</v>
      </c>
      <c r="J21" s="493" t="s">
        <v>572</v>
      </c>
      <c r="T21" s="812"/>
    </row>
    <row r="22" spans="2:21" x14ac:dyDescent="0.2">
      <c r="B22" s="510">
        <v>617000.58100000001</v>
      </c>
      <c r="C22" s="473" t="s">
        <v>575</v>
      </c>
      <c r="D22" s="511">
        <v>132000</v>
      </c>
      <c r="E22" s="511">
        <v>128094</v>
      </c>
      <c r="F22" s="511">
        <f t="shared" si="4"/>
        <v>11644.90909090909</v>
      </c>
      <c r="G22" s="511">
        <f t="shared" si="5"/>
        <v>139738.90909090909</v>
      </c>
      <c r="H22" s="511">
        <v>132000</v>
      </c>
      <c r="I22" s="511">
        <v>132000</v>
      </c>
      <c r="T22" s="812"/>
    </row>
    <row r="23" spans="2:21" x14ac:dyDescent="0.2">
      <c r="B23" s="510">
        <v>617000.75</v>
      </c>
      <c r="C23" s="473" t="s">
        <v>576</v>
      </c>
      <c r="D23" s="511">
        <f>28080*12+40000</f>
        <v>376960</v>
      </c>
      <c r="E23" s="511">
        <v>325260</v>
      </c>
      <c r="F23" s="511">
        <f t="shared" si="4"/>
        <v>29569.090909090908</v>
      </c>
      <c r="G23" s="511">
        <f t="shared" si="5"/>
        <v>354829.09090909088</v>
      </c>
      <c r="H23" s="511">
        <f>376000-22000</f>
        <v>354000</v>
      </c>
      <c r="I23" s="511">
        <f>376000-22000</f>
        <v>354000</v>
      </c>
      <c r="T23" s="812"/>
    </row>
    <row r="24" spans="2:21" ht="13.5" customHeight="1" x14ac:dyDescent="0.2">
      <c r="B24" s="510">
        <v>617100.75</v>
      </c>
      <c r="C24" s="473" t="s">
        <v>577</v>
      </c>
      <c r="D24" s="511">
        <v>0</v>
      </c>
      <c r="E24" s="511">
        <v>0</v>
      </c>
      <c r="F24" s="511">
        <f t="shared" si="4"/>
        <v>0</v>
      </c>
      <c r="G24" s="511">
        <f t="shared" si="5"/>
        <v>0</v>
      </c>
      <c r="H24" s="511">
        <v>30000</v>
      </c>
      <c r="I24" s="511">
        <v>30000</v>
      </c>
      <c r="T24" s="812"/>
    </row>
    <row r="25" spans="2:21" x14ac:dyDescent="0.2">
      <c r="B25" s="510">
        <v>617100.76</v>
      </c>
      <c r="C25" s="473" t="s">
        <v>578</v>
      </c>
      <c r="D25" s="511">
        <v>0</v>
      </c>
      <c r="E25" s="511">
        <v>0</v>
      </c>
      <c r="F25" s="511">
        <f t="shared" si="4"/>
        <v>0</v>
      </c>
      <c r="G25" s="511">
        <f t="shared" si="5"/>
        <v>0</v>
      </c>
      <c r="H25" s="511">
        <v>40000</v>
      </c>
      <c r="I25" s="511">
        <v>40000</v>
      </c>
      <c r="J25" s="493" t="s">
        <v>579</v>
      </c>
      <c r="T25" s="812"/>
    </row>
    <row r="26" spans="2:21" s="653" customFormat="1" ht="15.75" x14ac:dyDescent="0.25">
      <c r="B26" s="474" t="s">
        <v>580</v>
      </c>
      <c r="C26" s="475" t="s">
        <v>581</v>
      </c>
      <c r="D26" s="476">
        <f t="shared" ref="D26:I26" si="6">SUM(D3:D25)</f>
        <v>1643155</v>
      </c>
      <c r="E26" s="476">
        <f t="shared" si="6"/>
        <v>1376384</v>
      </c>
      <c r="F26" s="476">
        <f t="shared" si="6"/>
        <v>235442.54545454544</v>
      </c>
      <c r="G26" s="476">
        <f t="shared" si="6"/>
        <v>1611826.5454545454</v>
      </c>
      <c r="H26" s="476">
        <f t="shared" si="6"/>
        <v>1726375</v>
      </c>
      <c r="I26" s="476">
        <f t="shared" si="6"/>
        <v>1692209</v>
      </c>
      <c r="T26" s="812" t="e">
        <f>#REF!+#REF!+#REF!+#REF!+#REF!</f>
        <v>#REF!</v>
      </c>
      <c r="U26" s="893" t="e">
        <f>G26-T26-#REF!</f>
        <v>#REF!</v>
      </c>
    </row>
    <row r="27" spans="2:21" s="654" customFormat="1" ht="15" customHeight="1" x14ac:dyDescent="0.25">
      <c r="B27" s="415"/>
      <c r="C27" s="416"/>
      <c r="D27" s="511"/>
      <c r="E27" s="604"/>
      <c r="F27" s="511">
        <f>E27/9*3</f>
        <v>0</v>
      </c>
      <c r="G27" s="511">
        <f t="shared" ref="G27:G37" si="7">E27+F27</f>
        <v>0</v>
      </c>
      <c r="H27" s="511"/>
      <c r="I27" s="511"/>
      <c r="T27" s="812"/>
    </row>
    <row r="28" spans="2:21" s="654" customFormat="1" x14ac:dyDescent="0.2">
      <c r="B28" s="510">
        <v>621000.47</v>
      </c>
      <c r="C28" s="473" t="s">
        <v>583</v>
      </c>
      <c r="D28" s="511">
        <v>5000</v>
      </c>
      <c r="E28" s="511">
        <v>3600</v>
      </c>
      <c r="F28" s="511">
        <f t="shared" ref="F28:F34" si="8">E28/11</f>
        <v>327.27272727272725</v>
      </c>
      <c r="G28" s="511">
        <f t="shared" si="7"/>
        <v>3927.272727272727</v>
      </c>
      <c r="H28" s="511">
        <v>5000</v>
      </c>
      <c r="I28" s="511">
        <v>5000</v>
      </c>
      <c r="T28" s="812"/>
    </row>
    <row r="29" spans="2:21" s="654" customFormat="1" x14ac:dyDescent="0.2">
      <c r="B29" s="510">
        <v>621000.75</v>
      </c>
      <c r="C29" s="473" t="s">
        <v>1773</v>
      </c>
      <c r="D29" s="511">
        <f>20000*1.17*12</f>
        <v>280800</v>
      </c>
      <c r="E29" s="511">
        <v>257400</v>
      </c>
      <c r="F29" s="511">
        <f t="shared" si="8"/>
        <v>23400</v>
      </c>
      <c r="G29" s="511">
        <f t="shared" si="7"/>
        <v>280800</v>
      </c>
      <c r="H29" s="511">
        <f>23000*12*1.17+5000*1.17*12+84240+63180</f>
        <v>540540</v>
      </c>
      <c r="I29" s="511">
        <f>23000*12*1.17+5000*1.17*12</f>
        <v>393120</v>
      </c>
      <c r="J29" s="654" t="s">
        <v>584</v>
      </c>
      <c r="T29" s="812"/>
    </row>
    <row r="30" spans="2:21" s="654" customFormat="1" x14ac:dyDescent="0.2">
      <c r="B30" s="510">
        <v>623000.42000000004</v>
      </c>
      <c r="C30" s="473" t="s">
        <v>588</v>
      </c>
      <c r="D30" s="516">
        <f>2500*12</f>
        <v>30000</v>
      </c>
      <c r="E30" s="511">
        <v>27500</v>
      </c>
      <c r="F30" s="511">
        <f t="shared" si="8"/>
        <v>2500</v>
      </c>
      <c r="G30" s="511">
        <f t="shared" si="7"/>
        <v>30000</v>
      </c>
      <c r="H30" s="516">
        <v>30000</v>
      </c>
      <c r="I30" s="516">
        <v>30000</v>
      </c>
      <c r="T30" s="812"/>
    </row>
    <row r="31" spans="2:21" s="654" customFormat="1" x14ac:dyDescent="0.2">
      <c r="B31" s="510">
        <v>623000.43099999998</v>
      </c>
      <c r="C31" s="473" t="s">
        <v>589</v>
      </c>
      <c r="D31" s="511">
        <v>13000</v>
      </c>
      <c r="E31" s="511">
        <v>10637</v>
      </c>
      <c r="F31" s="511">
        <f t="shared" si="8"/>
        <v>967</v>
      </c>
      <c r="G31" s="511">
        <f t="shared" si="7"/>
        <v>11604</v>
      </c>
      <c r="H31" s="511">
        <v>13000</v>
      </c>
      <c r="I31" s="511">
        <v>13000</v>
      </c>
      <c r="T31" s="812"/>
    </row>
    <row r="32" spans="2:21" s="654" customFormat="1" x14ac:dyDescent="0.2">
      <c r="B32" s="510">
        <v>623000.47</v>
      </c>
      <c r="C32" s="473" t="s">
        <v>590</v>
      </c>
      <c r="D32" s="511">
        <v>5200</v>
      </c>
      <c r="E32" s="511">
        <v>6100</v>
      </c>
      <c r="F32" s="511">
        <f t="shared" si="8"/>
        <v>554.5454545454545</v>
      </c>
      <c r="G32" s="511">
        <f t="shared" si="7"/>
        <v>6654.545454545454</v>
      </c>
      <c r="H32" s="511">
        <v>5200</v>
      </c>
      <c r="I32" s="511">
        <v>5200</v>
      </c>
      <c r="T32" s="812"/>
    </row>
    <row r="33" spans="2:21" s="654" customFormat="1" x14ac:dyDescent="0.2">
      <c r="B33" s="510">
        <v>623000.54</v>
      </c>
      <c r="C33" s="473" t="s">
        <v>591</v>
      </c>
      <c r="D33" s="511">
        <v>10000</v>
      </c>
      <c r="E33" s="511">
        <v>8167</v>
      </c>
      <c r="F33" s="511">
        <f t="shared" si="8"/>
        <v>742.4545454545455</v>
      </c>
      <c r="G33" s="511">
        <f t="shared" si="7"/>
        <v>8909.454545454546</v>
      </c>
      <c r="H33" s="511">
        <v>10000</v>
      </c>
      <c r="I33" s="511">
        <v>10000</v>
      </c>
      <c r="T33" s="812"/>
    </row>
    <row r="34" spans="2:21" s="654" customFormat="1" x14ac:dyDescent="0.2">
      <c r="B34" s="510">
        <v>623000.69999999995</v>
      </c>
      <c r="C34" s="473" t="s">
        <v>592</v>
      </c>
      <c r="D34" s="516">
        <v>80000</v>
      </c>
      <c r="E34" s="511">
        <v>78798</v>
      </c>
      <c r="F34" s="511">
        <f t="shared" si="8"/>
        <v>7163.454545454545</v>
      </c>
      <c r="G34" s="511">
        <f t="shared" si="7"/>
        <v>85961.454545454544</v>
      </c>
      <c r="H34" s="512">
        <v>50000</v>
      </c>
      <c r="I34" s="512">
        <v>50000</v>
      </c>
      <c r="J34" s="654" t="s">
        <v>593</v>
      </c>
      <c r="T34" s="812"/>
    </row>
    <row r="35" spans="2:21" s="654" customFormat="1" x14ac:dyDescent="0.2">
      <c r="B35" s="510">
        <v>623000.75</v>
      </c>
      <c r="C35" s="473" t="s">
        <v>594</v>
      </c>
      <c r="D35" s="511">
        <f>38000*12*1.17+15000*12-5500*1.17*12+400*12</f>
        <v>641100</v>
      </c>
      <c r="E35" s="511">
        <v>474606</v>
      </c>
      <c r="F35" s="511">
        <f>E35/11+60000+60000</f>
        <v>163146</v>
      </c>
      <c r="G35" s="511">
        <f t="shared" si="7"/>
        <v>637752</v>
      </c>
      <c r="H35" s="511">
        <f>38000*12*1.17-5500*1.17*12+15000*12+400*12</f>
        <v>641100</v>
      </c>
      <c r="I35" s="511">
        <f>38000*12*1.17-5500*1.17*12+15000*12+400*1.17*12</f>
        <v>641916</v>
      </c>
      <c r="T35" s="812"/>
    </row>
    <row r="36" spans="2:21" s="654" customFormat="1" x14ac:dyDescent="0.2">
      <c r="B36" s="510">
        <v>623000.78</v>
      </c>
      <c r="C36" s="473" t="s">
        <v>595</v>
      </c>
      <c r="D36" s="511">
        <v>80000</v>
      </c>
      <c r="E36" s="511">
        <v>74880</v>
      </c>
      <c r="F36" s="511">
        <f>E36/11</f>
        <v>6807.272727272727</v>
      </c>
      <c r="G36" s="511">
        <f t="shared" si="7"/>
        <v>81687.272727272721</v>
      </c>
      <c r="H36" s="511">
        <v>20000</v>
      </c>
      <c r="I36" s="511">
        <v>0</v>
      </c>
      <c r="J36" s="654" t="s">
        <v>596</v>
      </c>
      <c r="T36" s="812"/>
    </row>
    <row r="37" spans="2:21" s="654" customFormat="1" x14ac:dyDescent="0.2">
      <c r="B37" s="510">
        <v>623100.78</v>
      </c>
      <c r="C37" s="473" t="s">
        <v>1695</v>
      </c>
      <c r="D37" s="511">
        <v>200000</v>
      </c>
      <c r="E37" s="511">
        <v>174903</v>
      </c>
      <c r="F37" s="511">
        <f>E37/11</f>
        <v>15900.272727272728</v>
      </c>
      <c r="G37" s="511">
        <f t="shared" si="7"/>
        <v>190803.27272727274</v>
      </c>
      <c r="H37" s="511">
        <v>200000</v>
      </c>
      <c r="I37" s="511">
        <v>0</v>
      </c>
      <c r="J37" s="654" t="s">
        <v>593</v>
      </c>
      <c r="T37" s="812"/>
    </row>
    <row r="38" spans="2:21" s="653" customFormat="1" ht="15.75" x14ac:dyDescent="0.25">
      <c r="B38" s="474" t="s">
        <v>597</v>
      </c>
      <c r="C38" s="475" t="s">
        <v>598</v>
      </c>
      <c r="D38" s="476">
        <f t="shared" ref="D38:I38" si="9">SUM(D28:D37)</f>
        <v>1345100</v>
      </c>
      <c r="E38" s="476">
        <f t="shared" si="9"/>
        <v>1116591</v>
      </c>
      <c r="F38" s="476">
        <f t="shared" si="9"/>
        <v>221508.27272727274</v>
      </c>
      <c r="G38" s="476">
        <f t="shared" si="9"/>
        <v>1338099.2727272727</v>
      </c>
      <c r="H38" s="476">
        <f t="shared" si="9"/>
        <v>1514840</v>
      </c>
      <c r="I38" s="476">
        <f t="shared" si="9"/>
        <v>1148236</v>
      </c>
      <c r="T38" s="812" t="e">
        <f>#REF!+#REF!+#REF!</f>
        <v>#REF!</v>
      </c>
      <c r="U38" s="893" t="e">
        <f>G38-T38</f>
        <v>#REF!</v>
      </c>
    </row>
    <row r="39" spans="2:21" s="654" customFormat="1" x14ac:dyDescent="0.2">
      <c r="B39" s="415"/>
      <c r="C39" s="416"/>
      <c r="D39" s="511"/>
      <c r="E39" s="552"/>
      <c r="F39" s="511">
        <f>E39/9*3</f>
        <v>0</v>
      </c>
      <c r="G39" s="511">
        <f>E39+F39</f>
        <v>0</v>
      </c>
      <c r="H39" s="511"/>
      <c r="I39" s="511"/>
      <c r="T39" s="812"/>
    </row>
    <row r="40" spans="2:21" s="654" customFormat="1" x14ac:dyDescent="0.2">
      <c r="B40" s="518"/>
      <c r="C40" s="519"/>
      <c r="D40" s="516"/>
      <c r="E40" s="552"/>
      <c r="F40" s="511">
        <f>E40/9*3</f>
        <v>0</v>
      </c>
      <c r="G40" s="511">
        <f>E40+F40</f>
        <v>0</v>
      </c>
      <c r="H40" s="516"/>
      <c r="I40" s="516"/>
      <c r="T40" s="812"/>
    </row>
    <row r="41" spans="2:21" s="654" customFormat="1" x14ac:dyDescent="0.2">
      <c r="B41" s="510"/>
      <c r="C41" s="521"/>
      <c r="D41" s="511"/>
      <c r="E41" s="552"/>
      <c r="F41" s="511">
        <f>E41/9*3</f>
        <v>0</v>
      </c>
      <c r="G41" s="511">
        <f>E41+F41</f>
        <v>0</v>
      </c>
      <c r="H41" s="511"/>
      <c r="I41" s="511"/>
      <c r="T41" s="812"/>
    </row>
    <row r="42" spans="2:21" s="655" customFormat="1" ht="18.75" x14ac:dyDescent="0.3">
      <c r="B42" s="453" t="s">
        <v>399</v>
      </c>
      <c r="C42" s="454" t="s">
        <v>608</v>
      </c>
      <c r="D42" s="455">
        <f>D26+D38</f>
        <v>2988255</v>
      </c>
      <c r="E42" s="455">
        <f t="shared" ref="E42:U42" si="10">E26+E38</f>
        <v>2492975</v>
      </c>
      <c r="F42" s="455">
        <f t="shared" si="10"/>
        <v>456950.81818181818</v>
      </c>
      <c r="G42" s="455">
        <f t="shared" si="10"/>
        <v>2949925.8181818184</v>
      </c>
      <c r="H42" s="455">
        <f t="shared" si="10"/>
        <v>3241215</v>
      </c>
      <c r="I42" s="455">
        <f t="shared" si="10"/>
        <v>2840445</v>
      </c>
      <c r="J42" s="455">
        <f t="shared" si="10"/>
        <v>0</v>
      </c>
      <c r="K42" s="455">
        <f t="shared" si="10"/>
        <v>0</v>
      </c>
      <c r="L42" s="455">
        <f t="shared" si="10"/>
        <v>0</v>
      </c>
      <c r="M42" s="455">
        <f t="shared" si="10"/>
        <v>0</v>
      </c>
      <c r="N42" s="455">
        <f t="shared" si="10"/>
        <v>0</v>
      </c>
      <c r="O42" s="455">
        <f t="shared" si="10"/>
        <v>0</v>
      </c>
      <c r="P42" s="455">
        <f t="shared" si="10"/>
        <v>0</v>
      </c>
      <c r="Q42" s="455">
        <f t="shared" si="10"/>
        <v>0</v>
      </c>
      <c r="R42" s="455">
        <f t="shared" si="10"/>
        <v>0</v>
      </c>
      <c r="S42" s="455">
        <f t="shared" si="10"/>
        <v>0</v>
      </c>
      <c r="T42" s="455" t="e">
        <f t="shared" si="10"/>
        <v>#REF!</v>
      </c>
      <c r="U42" s="455" t="e">
        <f t="shared" si="10"/>
        <v>#REF!</v>
      </c>
    </row>
    <row r="43" spans="2:21" s="654" customFormat="1" x14ac:dyDescent="0.2">
      <c r="B43" s="510"/>
      <c r="C43" s="473"/>
      <c r="D43" s="511"/>
      <c r="E43" s="552"/>
      <c r="F43" s="511">
        <f>E43/9*3</f>
        <v>0</v>
      </c>
      <c r="G43" s="511">
        <f t="shared" ref="G43:G51" si="11">E43+F43</f>
        <v>0</v>
      </c>
      <c r="H43" s="511"/>
      <c r="I43" s="511"/>
      <c r="T43" s="812"/>
    </row>
    <row r="44" spans="2:21" s="656" customFormat="1" x14ac:dyDescent="0.2">
      <c r="B44" s="510">
        <v>711000.73</v>
      </c>
      <c r="C44" s="473" t="s">
        <v>609</v>
      </c>
      <c r="D44" s="511">
        <f>1800*12+2000</f>
        <v>23600</v>
      </c>
      <c r="E44" s="511">
        <v>16540</v>
      </c>
      <c r="F44" s="511">
        <f>E44/11</f>
        <v>1503.6363636363637</v>
      </c>
      <c r="G44" s="511">
        <f t="shared" si="11"/>
        <v>18043.636363636364</v>
      </c>
      <c r="H44" s="511">
        <f>1800*12</f>
        <v>21600</v>
      </c>
      <c r="I44" s="511">
        <v>21600</v>
      </c>
      <c r="T44" s="812"/>
    </row>
    <row r="45" spans="2:21" s="654" customFormat="1" x14ac:dyDescent="0.2">
      <c r="B45" s="510">
        <v>711000.73499999999</v>
      </c>
      <c r="C45" s="473" t="s">
        <v>610</v>
      </c>
      <c r="D45" s="511">
        <f>3000*12</f>
        <v>36000</v>
      </c>
      <c r="E45" s="511">
        <v>24254</v>
      </c>
      <c r="F45" s="511">
        <f>E45/11</f>
        <v>2204.909090909091</v>
      </c>
      <c r="G45" s="511">
        <f t="shared" si="11"/>
        <v>26458.909090909092</v>
      </c>
      <c r="H45" s="511">
        <v>36000</v>
      </c>
      <c r="I45" s="511">
        <v>36000</v>
      </c>
      <c r="T45" s="812"/>
    </row>
    <row r="46" spans="2:21" s="654" customFormat="1" x14ac:dyDescent="0.2">
      <c r="B46" s="510">
        <v>712300.75</v>
      </c>
      <c r="C46" s="473" t="s">
        <v>613</v>
      </c>
      <c r="D46" s="516">
        <f>370000*12</f>
        <v>4440000</v>
      </c>
      <c r="E46" s="511">
        <v>3938144</v>
      </c>
      <c r="F46" s="511">
        <f>E46/11+400000-200000</f>
        <v>558013.09090909082</v>
      </c>
      <c r="G46" s="511">
        <f t="shared" si="11"/>
        <v>4496157.0909090908</v>
      </c>
      <c r="H46" s="517">
        <v>4400000</v>
      </c>
      <c r="I46" s="517">
        <v>4400000</v>
      </c>
      <c r="J46" s="654" t="s">
        <v>572</v>
      </c>
      <c r="T46" s="812"/>
    </row>
    <row r="47" spans="2:21" s="654" customFormat="1" x14ac:dyDescent="0.2">
      <c r="B47" s="510">
        <v>712301.75</v>
      </c>
      <c r="C47" s="473" t="s">
        <v>614</v>
      </c>
      <c r="D47" s="516">
        <f>3510*12*10</f>
        <v>421200</v>
      </c>
      <c r="E47" s="511">
        <v>408000</v>
      </c>
      <c r="F47" s="511">
        <f>E47/11</f>
        <v>37090.909090909088</v>
      </c>
      <c r="G47" s="511">
        <f t="shared" si="11"/>
        <v>445090.90909090906</v>
      </c>
      <c r="H47" s="512">
        <f>10*3300*1.17*12</f>
        <v>463320</v>
      </c>
      <c r="I47" s="512">
        <v>0</v>
      </c>
      <c r="J47" s="654" t="s">
        <v>20</v>
      </c>
      <c r="T47" s="812"/>
    </row>
    <row r="48" spans="2:21" s="654" customFormat="1" ht="12.75" customHeight="1" x14ac:dyDescent="0.2">
      <c r="B48" s="510">
        <v>713000.72</v>
      </c>
      <c r="C48" s="473" t="s">
        <v>617</v>
      </c>
      <c r="D48" s="511">
        <v>45000</v>
      </c>
      <c r="E48" s="511">
        <v>29863</v>
      </c>
      <c r="F48" s="511">
        <f>E48/11</f>
        <v>2714.818181818182</v>
      </c>
      <c r="G48" s="511">
        <f t="shared" si="11"/>
        <v>32577.818181818184</v>
      </c>
      <c r="H48" s="511">
        <v>45000</v>
      </c>
      <c r="I48" s="511">
        <v>45000</v>
      </c>
      <c r="T48" s="812"/>
    </row>
    <row r="49" spans="2:20" s="654" customFormat="1" x14ac:dyDescent="0.2">
      <c r="B49" s="510">
        <v>713000.75</v>
      </c>
      <c r="C49" s="473" t="s">
        <v>618</v>
      </c>
      <c r="D49" s="511">
        <v>30000</v>
      </c>
      <c r="E49" s="516">
        <v>26400</v>
      </c>
      <c r="F49" s="511">
        <f>E49/11</f>
        <v>2400</v>
      </c>
      <c r="G49" s="511">
        <f t="shared" si="11"/>
        <v>28800</v>
      </c>
      <c r="H49" s="511">
        <v>30000</v>
      </c>
      <c r="I49" s="511">
        <v>30000</v>
      </c>
      <c r="J49" s="654" t="s">
        <v>619</v>
      </c>
      <c r="T49" s="812"/>
    </row>
    <row r="50" spans="2:20" s="654" customFormat="1" x14ac:dyDescent="0.2">
      <c r="B50" s="510">
        <v>714300.72</v>
      </c>
      <c r="C50" s="473" t="s">
        <v>622</v>
      </c>
      <c r="D50" s="511">
        <v>7300</v>
      </c>
      <c r="E50" s="511">
        <v>5722</v>
      </c>
      <c r="F50" s="511">
        <f>E50/11</f>
        <v>520.18181818181813</v>
      </c>
      <c r="G50" s="511">
        <f t="shared" si="11"/>
        <v>6242.181818181818</v>
      </c>
      <c r="H50" s="511">
        <f>E50*2</f>
        <v>11444</v>
      </c>
      <c r="I50" s="511">
        <v>5520</v>
      </c>
      <c r="T50" s="812"/>
    </row>
    <row r="51" spans="2:20" s="654" customFormat="1" ht="12.75" customHeight="1" x14ac:dyDescent="0.2">
      <c r="B51" s="510">
        <v>715200.72</v>
      </c>
      <c r="C51" s="473" t="s">
        <v>623</v>
      </c>
      <c r="D51" s="511">
        <v>12000</v>
      </c>
      <c r="E51" s="511">
        <v>6600</v>
      </c>
      <c r="F51" s="511">
        <f>E51/11</f>
        <v>600</v>
      </c>
      <c r="G51" s="511">
        <f t="shared" si="11"/>
        <v>7200</v>
      </c>
      <c r="H51" s="511">
        <v>12000</v>
      </c>
      <c r="I51" s="511">
        <v>12000</v>
      </c>
      <c r="T51" s="812"/>
    </row>
    <row r="52" spans="2:20" s="653" customFormat="1" ht="15.75" x14ac:dyDescent="0.25">
      <c r="B52" s="450" t="s">
        <v>624</v>
      </c>
      <c r="C52" s="451" t="s">
        <v>625</v>
      </c>
      <c r="D52" s="452">
        <f t="shared" ref="D52:I52" si="12">SUM(D44:D51)</f>
        <v>5015100</v>
      </c>
      <c r="E52" s="452">
        <f t="shared" si="12"/>
        <v>4455523</v>
      </c>
      <c r="F52" s="452">
        <f t="shared" si="12"/>
        <v>605047.5454545453</v>
      </c>
      <c r="G52" s="452">
        <f t="shared" si="12"/>
        <v>5060570.5454545459</v>
      </c>
      <c r="H52" s="452">
        <f t="shared" si="12"/>
        <v>5019364</v>
      </c>
      <c r="I52" s="452">
        <f t="shared" si="12"/>
        <v>4550120</v>
      </c>
      <c r="T52" s="812" t="e">
        <f>#REF!+#REF!+#REF!+#REF!</f>
        <v>#REF!</v>
      </c>
    </row>
    <row r="53" spans="2:20" s="654" customFormat="1" ht="12.75" customHeight="1" x14ac:dyDescent="0.2">
      <c r="B53" s="510"/>
      <c r="C53" s="473"/>
      <c r="D53" s="511"/>
      <c r="E53" s="552"/>
      <c r="F53" s="511">
        <f>E53/9*3</f>
        <v>0</v>
      </c>
      <c r="G53" s="511">
        <f t="shared" ref="G53:G58" si="13">E53+F53</f>
        <v>0</v>
      </c>
      <c r="H53" s="511"/>
      <c r="I53" s="511"/>
      <c r="T53" s="812"/>
    </row>
    <row r="54" spans="2:20" s="654" customFormat="1" x14ac:dyDescent="0.2">
      <c r="B54" s="510">
        <v>721000.75</v>
      </c>
      <c r="C54" s="473" t="s">
        <v>626</v>
      </c>
      <c r="D54" s="511">
        <v>1423055</v>
      </c>
      <c r="E54" s="511">
        <v>793408</v>
      </c>
      <c r="F54" s="511">
        <f>E54/11+120000+132000+127000+170000</f>
        <v>621128</v>
      </c>
      <c r="G54" s="511">
        <f t="shared" si="13"/>
        <v>1414536</v>
      </c>
      <c r="H54" s="517">
        <f>120000*12+50000</f>
        <v>1490000</v>
      </c>
      <c r="I54" s="517">
        <f>120000*12+50000</f>
        <v>1490000</v>
      </c>
      <c r="T54" s="812"/>
    </row>
    <row r="55" spans="2:20" s="654" customFormat="1" x14ac:dyDescent="0.2">
      <c r="B55" s="510">
        <v>722100.41</v>
      </c>
      <c r="C55" s="473" t="s">
        <v>627</v>
      </c>
      <c r="D55" s="516">
        <v>27000</v>
      </c>
      <c r="E55" s="516">
        <v>24750</v>
      </c>
      <c r="F55" s="511">
        <f>E55/11</f>
        <v>2250</v>
      </c>
      <c r="G55" s="511">
        <f t="shared" si="13"/>
        <v>27000</v>
      </c>
      <c r="H55" s="516">
        <v>27000</v>
      </c>
      <c r="I55" s="516">
        <v>27000</v>
      </c>
      <c r="T55" s="812"/>
    </row>
    <row r="56" spans="2:20" s="654" customFormat="1" x14ac:dyDescent="0.2">
      <c r="B56" s="510">
        <v>723000.83</v>
      </c>
      <c r="C56" s="473" t="s">
        <v>628</v>
      </c>
      <c r="D56" s="516">
        <v>70052</v>
      </c>
      <c r="E56" s="516">
        <v>70052</v>
      </c>
      <c r="F56" s="511">
        <f>E56/11</f>
        <v>6368.363636363636</v>
      </c>
      <c r="G56" s="511">
        <f t="shared" si="13"/>
        <v>76420.363636363632</v>
      </c>
      <c r="H56" s="516">
        <f>E56*2</f>
        <v>140104</v>
      </c>
      <c r="I56" s="516">
        <v>70052</v>
      </c>
      <c r="T56" s="812"/>
    </row>
    <row r="57" spans="2:20" s="654" customFormat="1" x14ac:dyDescent="0.2">
      <c r="B57" s="510">
        <v>723100.83</v>
      </c>
      <c r="C57" s="473" t="s">
        <v>629</v>
      </c>
      <c r="D57" s="516">
        <v>160893</v>
      </c>
      <c r="E57" s="516">
        <v>21343</v>
      </c>
      <c r="F57" s="511">
        <f>E57/11+137000</f>
        <v>138940.27272727274</v>
      </c>
      <c r="G57" s="511">
        <f t="shared" si="13"/>
        <v>160283.27272727274</v>
      </c>
      <c r="H57" s="516">
        <v>160893</v>
      </c>
      <c r="I57" s="516">
        <v>160893</v>
      </c>
      <c r="T57" s="812"/>
    </row>
    <row r="58" spans="2:20" s="654" customFormat="1" x14ac:dyDescent="0.2">
      <c r="B58" s="510">
        <v>724000.83</v>
      </c>
      <c r="C58" s="473" t="s">
        <v>630</v>
      </c>
      <c r="D58" s="516">
        <f>155671+10000</f>
        <v>165671</v>
      </c>
      <c r="E58" s="516">
        <v>155671</v>
      </c>
      <c r="F58" s="511">
        <f>E58/11</f>
        <v>14151.90909090909</v>
      </c>
      <c r="G58" s="511">
        <f t="shared" si="13"/>
        <v>169822.90909090909</v>
      </c>
      <c r="H58" s="516">
        <v>165671</v>
      </c>
      <c r="I58" s="516">
        <v>165671</v>
      </c>
      <c r="T58" s="812"/>
    </row>
    <row r="59" spans="2:20" s="653" customFormat="1" ht="15.75" x14ac:dyDescent="0.25">
      <c r="B59" s="450" t="s">
        <v>631</v>
      </c>
      <c r="C59" s="451" t="s">
        <v>632</v>
      </c>
      <c r="D59" s="452">
        <f t="shared" ref="D59:I59" si="14">SUM(D54:D58)</f>
        <v>1846671</v>
      </c>
      <c r="E59" s="452">
        <f t="shared" si="14"/>
        <v>1065224</v>
      </c>
      <c r="F59" s="452">
        <f t="shared" si="14"/>
        <v>782838.54545454541</v>
      </c>
      <c r="G59" s="452">
        <f t="shared" si="14"/>
        <v>1848062.5454545454</v>
      </c>
      <c r="H59" s="452">
        <f t="shared" si="14"/>
        <v>1983668</v>
      </c>
      <c r="I59" s="452">
        <f t="shared" si="14"/>
        <v>1913616</v>
      </c>
      <c r="T59" s="812"/>
    </row>
    <row r="60" spans="2:20" s="654" customFormat="1" x14ac:dyDescent="0.2">
      <c r="B60" s="510"/>
      <c r="C60" s="419"/>
      <c r="D60" s="511"/>
      <c r="E60" s="552"/>
      <c r="F60" s="511">
        <f>E60/9*3</f>
        <v>0</v>
      </c>
      <c r="G60" s="511">
        <f t="shared" ref="G60:G65" si="15">E60+F60</f>
        <v>0</v>
      </c>
      <c r="H60" s="511"/>
      <c r="I60" s="511"/>
      <c r="T60" s="812"/>
    </row>
    <row r="61" spans="2:20" s="654" customFormat="1" x14ac:dyDescent="0.2">
      <c r="B61" s="510">
        <v>731000.72</v>
      </c>
      <c r="C61" s="473" t="s">
        <v>634</v>
      </c>
      <c r="D61" s="511">
        <v>3000</v>
      </c>
      <c r="E61" s="511">
        <v>0</v>
      </c>
      <c r="F61" s="511">
        <f>E61/11</f>
        <v>0</v>
      </c>
      <c r="G61" s="511">
        <f t="shared" si="15"/>
        <v>0</v>
      </c>
      <c r="H61" s="511">
        <v>3000</v>
      </c>
      <c r="I61" s="511">
        <v>3000</v>
      </c>
      <c r="T61" s="812"/>
    </row>
    <row r="62" spans="2:20" s="654" customFormat="1" ht="12.75" customHeight="1" x14ac:dyDescent="0.2">
      <c r="B62" s="510">
        <v>731000.75</v>
      </c>
      <c r="C62" s="473" t="s">
        <v>1780</v>
      </c>
      <c r="D62" s="511">
        <f>1914+1158+500+352+1456+300</f>
        <v>5680</v>
      </c>
      <c r="E62" s="511">
        <v>0</v>
      </c>
      <c r="F62" s="511">
        <f>E62/11</f>
        <v>0</v>
      </c>
      <c r="G62" s="511">
        <f t="shared" si="15"/>
        <v>0</v>
      </c>
      <c r="H62" s="511">
        <f>1000*12+5680</f>
        <v>17680</v>
      </c>
      <c r="I62" s="511">
        <f>12000+5680</f>
        <v>17680</v>
      </c>
      <c r="T62" s="812"/>
    </row>
    <row r="63" spans="2:20" s="654" customFormat="1" x14ac:dyDescent="0.2">
      <c r="B63" s="510">
        <v>731000.78</v>
      </c>
      <c r="C63" s="473" t="s">
        <v>635</v>
      </c>
      <c r="D63" s="511">
        <v>0</v>
      </c>
      <c r="E63" s="511">
        <v>0</v>
      </c>
      <c r="F63" s="511">
        <f>E63/11</f>
        <v>0</v>
      </c>
      <c r="G63" s="511">
        <f t="shared" si="15"/>
        <v>0</v>
      </c>
      <c r="H63" s="511">
        <v>70000</v>
      </c>
      <c r="I63" s="511">
        <v>70000</v>
      </c>
      <c r="T63" s="812"/>
    </row>
    <row r="64" spans="2:20" s="654" customFormat="1" x14ac:dyDescent="0.2">
      <c r="B64" s="510">
        <v>731100.78</v>
      </c>
      <c r="C64" s="473" t="s">
        <v>1697</v>
      </c>
      <c r="D64" s="511">
        <v>150000</v>
      </c>
      <c r="E64" s="511">
        <v>0</v>
      </c>
      <c r="F64" s="511">
        <v>150000</v>
      </c>
      <c r="G64" s="511">
        <f t="shared" si="15"/>
        <v>150000</v>
      </c>
      <c r="H64" s="511">
        <v>800000</v>
      </c>
      <c r="I64" s="511">
        <v>0</v>
      </c>
      <c r="T64" s="812"/>
    </row>
    <row r="65" spans="2:20" s="654" customFormat="1" x14ac:dyDescent="0.2">
      <c r="B65" s="510">
        <v>733400.81</v>
      </c>
      <c r="C65" s="473" t="s">
        <v>636</v>
      </c>
      <c r="D65" s="516">
        <v>1187000</v>
      </c>
      <c r="E65" s="511">
        <v>1293760</v>
      </c>
      <c r="F65" s="511">
        <v>0</v>
      </c>
      <c r="G65" s="511">
        <f t="shared" si="15"/>
        <v>1293760</v>
      </c>
      <c r="H65" s="511">
        <v>1498000</v>
      </c>
      <c r="I65" s="511">
        <v>1498000</v>
      </c>
      <c r="T65" s="812"/>
    </row>
    <row r="66" spans="2:20" s="653" customFormat="1" ht="15.75" x14ac:dyDescent="0.25">
      <c r="B66" s="450" t="s">
        <v>637</v>
      </c>
      <c r="C66" s="451" t="s">
        <v>638</v>
      </c>
      <c r="D66" s="452">
        <f t="shared" ref="D66:I66" si="16">SUM(D61:D65)</f>
        <v>1345680</v>
      </c>
      <c r="E66" s="452">
        <f t="shared" si="16"/>
        <v>1293760</v>
      </c>
      <c r="F66" s="452">
        <f t="shared" si="16"/>
        <v>150000</v>
      </c>
      <c r="G66" s="452">
        <f t="shared" si="16"/>
        <v>1443760</v>
      </c>
      <c r="H66" s="452">
        <f t="shared" si="16"/>
        <v>2388680</v>
      </c>
      <c r="I66" s="452">
        <f t="shared" si="16"/>
        <v>1588680</v>
      </c>
      <c r="T66" s="812"/>
    </row>
    <row r="67" spans="2:20" s="654" customFormat="1" x14ac:dyDescent="0.2">
      <c r="B67" s="415"/>
      <c r="C67" s="416"/>
      <c r="D67" s="511"/>
      <c r="E67" s="552"/>
      <c r="F67" s="511"/>
      <c r="G67" s="511">
        <f t="shared" ref="G67:G77" si="17">E67+F67</f>
        <v>0</v>
      </c>
      <c r="H67" s="511"/>
      <c r="I67" s="511"/>
      <c r="T67" s="812"/>
    </row>
    <row r="68" spans="2:20" s="654" customFormat="1" x14ac:dyDescent="0.2">
      <c r="B68" s="510">
        <v>741000.54</v>
      </c>
      <c r="C68" s="473" t="s">
        <v>639</v>
      </c>
      <c r="D68" s="511">
        <v>2600</v>
      </c>
      <c r="E68" s="511">
        <v>2221</v>
      </c>
      <c r="F68" s="511">
        <f t="shared" ref="F68:F77" si="18">E68/11</f>
        <v>201.90909090909091</v>
      </c>
      <c r="G68" s="511">
        <f t="shared" si="17"/>
        <v>2422.909090909091</v>
      </c>
      <c r="H68" s="511">
        <v>2600</v>
      </c>
      <c r="I68" s="511">
        <v>2600</v>
      </c>
      <c r="T68" s="812"/>
    </row>
    <row r="69" spans="2:20" s="654" customFormat="1" x14ac:dyDescent="0.2">
      <c r="B69" s="510">
        <v>742200.72</v>
      </c>
      <c r="C69" s="473" t="s">
        <v>641</v>
      </c>
      <c r="D69" s="511">
        <v>5000</v>
      </c>
      <c r="E69" s="511">
        <v>5000</v>
      </c>
      <c r="F69" s="511">
        <f t="shared" si="18"/>
        <v>454.54545454545456</v>
      </c>
      <c r="G69" s="511">
        <f t="shared" si="17"/>
        <v>5454.545454545455</v>
      </c>
      <c r="H69" s="511">
        <v>10000</v>
      </c>
      <c r="I69" s="511">
        <v>10000</v>
      </c>
      <c r="T69" s="812"/>
    </row>
    <row r="70" spans="2:20" s="654" customFormat="1" x14ac:dyDescent="0.2">
      <c r="B70" s="510">
        <v>742200.73199999996</v>
      </c>
      <c r="C70" s="473" t="s">
        <v>642</v>
      </c>
      <c r="D70" s="511">
        <f>1500*12</f>
        <v>18000</v>
      </c>
      <c r="E70" s="511">
        <v>15005</v>
      </c>
      <c r="F70" s="511">
        <f t="shared" si="18"/>
        <v>1364.090909090909</v>
      </c>
      <c r="G70" s="511">
        <f t="shared" si="17"/>
        <v>16369.090909090908</v>
      </c>
      <c r="H70" s="511">
        <f>1500*12</f>
        <v>18000</v>
      </c>
      <c r="I70" s="511">
        <v>18000</v>
      </c>
      <c r="T70" s="812"/>
    </row>
    <row r="71" spans="2:20" s="654" customFormat="1" x14ac:dyDescent="0.2">
      <c r="B71" s="510">
        <v>742200.73499999999</v>
      </c>
      <c r="C71" s="473" t="s">
        <v>643</v>
      </c>
      <c r="D71" s="511">
        <v>73000</v>
      </c>
      <c r="E71" s="511">
        <v>51264</v>
      </c>
      <c r="F71" s="511">
        <f t="shared" si="18"/>
        <v>4660.363636363636</v>
      </c>
      <c r="G71" s="511">
        <f t="shared" si="17"/>
        <v>55924.363636363632</v>
      </c>
      <c r="H71" s="511">
        <f>E71*2</f>
        <v>102528</v>
      </c>
      <c r="I71" s="511">
        <v>74394</v>
      </c>
      <c r="T71" s="812"/>
    </row>
    <row r="72" spans="2:20" s="654" customFormat="1" x14ac:dyDescent="0.2">
      <c r="B72" s="510">
        <v>743000.43099999998</v>
      </c>
      <c r="C72" s="473" t="s">
        <v>644</v>
      </c>
      <c r="D72" s="516">
        <v>602000</v>
      </c>
      <c r="E72" s="516">
        <f>545816-6528</f>
        <v>539288</v>
      </c>
      <c r="F72" s="511">
        <f t="shared" si="18"/>
        <v>49026.181818181816</v>
      </c>
      <c r="G72" s="511">
        <f t="shared" si="17"/>
        <v>588314.18181818177</v>
      </c>
      <c r="H72" s="522">
        <v>580000</v>
      </c>
      <c r="I72" s="522">
        <v>445000</v>
      </c>
      <c r="J72" s="654" t="s">
        <v>645</v>
      </c>
      <c r="T72" s="812"/>
    </row>
    <row r="73" spans="2:20" s="654" customFormat="1" x14ac:dyDescent="0.2">
      <c r="B73" s="510">
        <v>743000.43200000003</v>
      </c>
      <c r="C73" s="473" t="s">
        <v>646</v>
      </c>
      <c r="D73" s="516">
        <v>10000</v>
      </c>
      <c r="E73" s="516">
        <v>3670</v>
      </c>
      <c r="F73" s="511">
        <f t="shared" si="18"/>
        <v>333.63636363636363</v>
      </c>
      <c r="G73" s="511">
        <f t="shared" si="17"/>
        <v>4003.6363636363635</v>
      </c>
      <c r="H73" s="516">
        <v>10000</v>
      </c>
      <c r="I73" s="516">
        <v>10000</v>
      </c>
      <c r="T73" s="812"/>
    </row>
    <row r="74" spans="2:20" s="654" customFormat="1" x14ac:dyDescent="0.2">
      <c r="B74" s="510">
        <v>744000.72</v>
      </c>
      <c r="C74" s="473" t="s">
        <v>647</v>
      </c>
      <c r="D74" s="511">
        <f>26500+33000</f>
        <v>59500</v>
      </c>
      <c r="E74" s="516">
        <f>37478</f>
        <v>37478</v>
      </c>
      <c r="F74" s="511">
        <f t="shared" si="18"/>
        <v>3407.090909090909</v>
      </c>
      <c r="G74" s="511">
        <f t="shared" si="17"/>
        <v>40885.090909090912</v>
      </c>
      <c r="H74" s="516">
        <v>64500</v>
      </c>
      <c r="I74" s="516">
        <v>64500</v>
      </c>
      <c r="T74" s="812"/>
    </row>
    <row r="75" spans="2:20" s="654" customFormat="1" ht="12.75" customHeight="1" x14ac:dyDescent="0.2">
      <c r="B75" s="510">
        <v>745000.81</v>
      </c>
      <c r="C75" s="473" t="s">
        <v>648</v>
      </c>
      <c r="D75" s="511">
        <v>111411</v>
      </c>
      <c r="E75" s="516">
        <v>97675</v>
      </c>
      <c r="F75" s="511">
        <f t="shared" si="18"/>
        <v>8879.545454545454</v>
      </c>
      <c r="G75" s="511">
        <f t="shared" si="17"/>
        <v>106554.54545454546</v>
      </c>
      <c r="H75" s="516">
        <f>E75*2</f>
        <v>195350</v>
      </c>
      <c r="I75" s="516">
        <v>111410</v>
      </c>
      <c r="T75" s="812"/>
    </row>
    <row r="76" spans="2:20" s="654" customFormat="1" x14ac:dyDescent="0.2">
      <c r="B76" s="510">
        <v>748000.43200000003</v>
      </c>
      <c r="C76" s="473" t="s">
        <v>649</v>
      </c>
      <c r="D76" s="511">
        <v>9000</v>
      </c>
      <c r="E76" s="516">
        <v>10586</v>
      </c>
      <c r="F76" s="511">
        <f t="shared" si="18"/>
        <v>962.36363636363637</v>
      </c>
      <c r="G76" s="511">
        <f t="shared" si="17"/>
        <v>11548.363636363636</v>
      </c>
      <c r="H76" s="516">
        <f>E76*2</f>
        <v>21172</v>
      </c>
      <c r="I76" s="516">
        <v>13748</v>
      </c>
      <c r="T76" s="812"/>
    </row>
    <row r="77" spans="2:20" s="654" customFormat="1" x14ac:dyDescent="0.2">
      <c r="B77" s="518">
        <v>748000.91</v>
      </c>
      <c r="C77" s="519" t="s">
        <v>650</v>
      </c>
      <c r="D77" s="516">
        <v>0</v>
      </c>
      <c r="E77" s="516">
        <v>0</v>
      </c>
      <c r="F77" s="511">
        <f t="shared" si="18"/>
        <v>0</v>
      </c>
      <c r="G77" s="511">
        <f t="shared" si="17"/>
        <v>0</v>
      </c>
      <c r="H77" s="516">
        <v>100000</v>
      </c>
      <c r="I77" s="516">
        <v>0</v>
      </c>
      <c r="T77" s="812"/>
    </row>
    <row r="78" spans="2:20" s="653" customFormat="1" ht="15.75" x14ac:dyDescent="0.25">
      <c r="B78" s="450" t="s">
        <v>651</v>
      </c>
      <c r="C78" s="451" t="s">
        <v>652</v>
      </c>
      <c r="D78" s="452">
        <f t="shared" ref="D78:I78" si="19">SUM(D68:D77)</f>
        <v>890511</v>
      </c>
      <c r="E78" s="452">
        <f t="shared" si="19"/>
        <v>762187</v>
      </c>
      <c r="F78" s="452">
        <f t="shared" si="19"/>
        <v>69289.727272727265</v>
      </c>
      <c r="G78" s="452">
        <f t="shared" si="19"/>
        <v>831476.72727272718</v>
      </c>
      <c r="H78" s="452">
        <f t="shared" si="19"/>
        <v>1104150</v>
      </c>
      <c r="I78" s="452">
        <f t="shared" si="19"/>
        <v>749652</v>
      </c>
      <c r="T78" s="812"/>
    </row>
    <row r="79" spans="2:20" s="654" customFormat="1" x14ac:dyDescent="0.2">
      <c r="B79" s="415"/>
      <c r="C79" s="416"/>
      <c r="D79" s="511"/>
      <c r="E79" s="552"/>
      <c r="F79" s="511"/>
      <c r="G79" s="511">
        <f>E79+F79</f>
        <v>0</v>
      </c>
      <c r="H79" s="511"/>
      <c r="I79" s="511"/>
      <c r="T79" s="812"/>
    </row>
    <row r="80" spans="2:20" s="654" customFormat="1" x14ac:dyDescent="0.2">
      <c r="B80" s="510">
        <v>767000.44</v>
      </c>
      <c r="C80" s="473" t="s">
        <v>653</v>
      </c>
      <c r="D80" s="511">
        <v>380024</v>
      </c>
      <c r="E80" s="511">
        <v>380024</v>
      </c>
      <c r="F80" s="752">
        <v>0</v>
      </c>
      <c r="G80" s="511">
        <f>E80+F80</f>
        <v>380024</v>
      </c>
      <c r="H80" s="511">
        <f>E80*2</f>
        <v>760048</v>
      </c>
      <c r="I80" s="511">
        <v>380024</v>
      </c>
      <c r="T80" s="812"/>
    </row>
    <row r="81" spans="1:20" s="654" customFormat="1" x14ac:dyDescent="0.2">
      <c r="B81" s="510">
        <v>767100.44</v>
      </c>
      <c r="C81" s="519" t="s">
        <v>1768</v>
      </c>
      <c r="D81" s="516">
        <v>50000</v>
      </c>
      <c r="E81" s="511">
        <v>0</v>
      </c>
      <c r="F81" s="511">
        <v>50000</v>
      </c>
      <c r="G81" s="511">
        <f>E81+F81</f>
        <v>50000</v>
      </c>
      <c r="H81" s="511">
        <v>50000</v>
      </c>
      <c r="I81" s="511">
        <v>50000</v>
      </c>
      <c r="T81" s="812"/>
    </row>
    <row r="82" spans="1:20" s="653" customFormat="1" ht="15.75" x14ac:dyDescent="0.25">
      <c r="B82" s="450" t="s">
        <v>654</v>
      </c>
      <c r="C82" s="451" t="s">
        <v>143</v>
      </c>
      <c r="D82" s="452">
        <f t="shared" ref="D82:I82" si="20">SUM(D80:D81)</f>
        <v>430024</v>
      </c>
      <c r="E82" s="452">
        <f t="shared" si="20"/>
        <v>380024</v>
      </c>
      <c r="F82" s="452">
        <f t="shared" si="20"/>
        <v>50000</v>
      </c>
      <c r="G82" s="452">
        <f t="shared" si="20"/>
        <v>430024</v>
      </c>
      <c r="H82" s="452">
        <f t="shared" si="20"/>
        <v>810048</v>
      </c>
      <c r="I82" s="452">
        <f t="shared" si="20"/>
        <v>430024</v>
      </c>
      <c r="T82" s="812"/>
    </row>
    <row r="83" spans="1:20" s="654" customFormat="1" x14ac:dyDescent="0.2">
      <c r="B83" s="510"/>
      <c r="C83" s="473"/>
      <c r="D83" s="511"/>
      <c r="E83" s="552"/>
      <c r="F83" s="511"/>
      <c r="G83" s="511">
        <f>E83+F83</f>
        <v>0</v>
      </c>
      <c r="H83" s="511"/>
      <c r="I83" s="511"/>
      <c r="T83" s="812"/>
    </row>
    <row r="84" spans="1:20" s="654" customFormat="1" x14ac:dyDescent="0.2">
      <c r="B84" s="510">
        <v>774000.81</v>
      </c>
      <c r="C84" s="473" t="s">
        <v>655</v>
      </c>
      <c r="D84" s="511">
        <v>0</v>
      </c>
      <c r="E84" s="511">
        <v>0</v>
      </c>
      <c r="F84" s="511">
        <f>E84/9*3</f>
        <v>0</v>
      </c>
      <c r="G84" s="511">
        <f>E84+F84</f>
        <v>0</v>
      </c>
      <c r="H84" s="511">
        <v>164000</v>
      </c>
      <c r="I84" s="511">
        <v>100000</v>
      </c>
      <c r="T84" s="812"/>
    </row>
    <row r="85" spans="1:20" s="654" customFormat="1" ht="15.75" customHeight="1" x14ac:dyDescent="0.25">
      <c r="B85" s="450" t="s">
        <v>656</v>
      </c>
      <c r="C85" s="451" t="s">
        <v>657</v>
      </c>
      <c r="D85" s="452">
        <f t="shared" ref="D85:I85" si="21">SUM(D84)</f>
        <v>0</v>
      </c>
      <c r="E85" s="452">
        <f t="shared" si="21"/>
        <v>0</v>
      </c>
      <c r="F85" s="452">
        <f t="shared" si="21"/>
        <v>0</v>
      </c>
      <c r="G85" s="452">
        <f t="shared" si="21"/>
        <v>0</v>
      </c>
      <c r="H85" s="452">
        <f t="shared" si="21"/>
        <v>164000</v>
      </c>
      <c r="I85" s="452">
        <f t="shared" si="21"/>
        <v>100000</v>
      </c>
      <c r="T85" s="812"/>
    </row>
    <row r="86" spans="1:20" s="654" customFormat="1" ht="15.75" customHeight="1" x14ac:dyDescent="0.25">
      <c r="B86" s="510"/>
      <c r="C86" s="451"/>
      <c r="D86" s="451"/>
      <c r="E86" s="451"/>
      <c r="F86" s="511"/>
      <c r="G86" s="511">
        <f>E86+F86</f>
        <v>0</v>
      </c>
      <c r="H86" s="451"/>
      <c r="I86" s="451"/>
      <c r="T86" s="812"/>
    </row>
    <row r="87" spans="1:20" s="655" customFormat="1" ht="18.75" x14ac:dyDescent="0.3">
      <c r="B87" s="453" t="s">
        <v>408</v>
      </c>
      <c r="C87" s="454" t="s">
        <v>658</v>
      </c>
      <c r="D87" s="455">
        <f t="shared" ref="D87:I87" si="22">D52+D59+D66+D78+D82+D85</f>
        <v>9527986</v>
      </c>
      <c r="E87" s="455">
        <f t="shared" si="22"/>
        <v>7956718</v>
      </c>
      <c r="F87" s="455">
        <f t="shared" si="22"/>
        <v>1657175.8181818181</v>
      </c>
      <c r="G87" s="455">
        <f t="shared" si="22"/>
        <v>9613893.8181818184</v>
      </c>
      <c r="H87" s="455">
        <f t="shared" si="22"/>
        <v>11469910</v>
      </c>
      <c r="I87" s="455">
        <f t="shared" si="22"/>
        <v>9332092</v>
      </c>
      <c r="T87" s="812"/>
    </row>
    <row r="88" spans="1:20" s="653" customFormat="1" ht="15.75" x14ac:dyDescent="0.25">
      <c r="A88" s="658"/>
      <c r="B88" s="450"/>
      <c r="C88" s="451"/>
      <c r="D88" s="452"/>
      <c r="E88" s="452"/>
      <c r="F88" s="511">
        <f>E88/9*3</f>
        <v>0</v>
      </c>
      <c r="G88" s="511">
        <f t="shared" ref="G88:G98" si="23">E88+F88</f>
        <v>0</v>
      </c>
      <c r="H88" s="452"/>
      <c r="I88" s="452"/>
      <c r="T88" s="812"/>
    </row>
    <row r="89" spans="1:20" x14ac:dyDescent="0.2">
      <c r="B89" s="750">
        <v>822000.76</v>
      </c>
      <c r="C89" s="751" t="s">
        <v>1694</v>
      </c>
      <c r="D89" s="752">
        <v>65000</v>
      </c>
      <c r="E89" s="752">
        <v>63765</v>
      </c>
      <c r="F89" s="511">
        <f t="shared" ref="F89:F98" si="24">E89/11</f>
        <v>5796.818181818182</v>
      </c>
      <c r="G89" s="511">
        <f t="shared" si="23"/>
        <v>69561.818181818177</v>
      </c>
      <c r="H89" s="752">
        <v>0</v>
      </c>
      <c r="I89" s="752">
        <v>0</v>
      </c>
      <c r="T89" s="812"/>
    </row>
    <row r="90" spans="1:20" x14ac:dyDescent="0.2">
      <c r="B90" s="510">
        <v>822000.78</v>
      </c>
      <c r="C90" s="473" t="s">
        <v>757</v>
      </c>
      <c r="D90" s="511">
        <v>130000</v>
      </c>
      <c r="E90" s="511">
        <v>115000</v>
      </c>
      <c r="F90" s="511">
        <f t="shared" si="24"/>
        <v>10454.545454545454</v>
      </c>
      <c r="G90" s="511">
        <f t="shared" si="23"/>
        <v>125454.54545454546</v>
      </c>
      <c r="H90" s="511">
        <f>92000+80000</f>
        <v>172000</v>
      </c>
      <c r="I90" s="511">
        <f>92000+80000</f>
        <v>172000</v>
      </c>
      <c r="T90" s="812"/>
    </row>
    <row r="91" spans="1:20" s="654" customFormat="1" x14ac:dyDescent="0.2">
      <c r="B91" s="510">
        <v>824000.42</v>
      </c>
      <c r="C91" s="473" t="s">
        <v>1704</v>
      </c>
      <c r="D91" s="511">
        <f>11408+5000</f>
        <v>16408</v>
      </c>
      <c r="E91" s="511">
        <v>2852</v>
      </c>
      <c r="F91" s="511">
        <f t="shared" si="24"/>
        <v>259.27272727272725</v>
      </c>
      <c r="G91" s="511">
        <f t="shared" si="23"/>
        <v>3111.272727272727</v>
      </c>
      <c r="H91" s="511">
        <v>16408</v>
      </c>
      <c r="I91" s="511">
        <v>16408</v>
      </c>
      <c r="T91" s="812"/>
    </row>
    <row r="92" spans="1:20" s="654" customFormat="1" ht="12.75" customHeight="1" x14ac:dyDescent="0.2">
      <c r="B92" s="750">
        <v>82400.429999999993</v>
      </c>
      <c r="C92" s="751" t="s">
        <v>761</v>
      </c>
      <c r="D92" s="752">
        <v>0</v>
      </c>
      <c r="E92" s="752">
        <v>0</v>
      </c>
      <c r="F92" s="511">
        <f t="shared" si="24"/>
        <v>0</v>
      </c>
      <c r="G92" s="511">
        <f t="shared" si="23"/>
        <v>0</v>
      </c>
      <c r="H92" s="752">
        <v>0</v>
      </c>
      <c r="I92" s="752">
        <v>0</v>
      </c>
      <c r="T92" s="812"/>
    </row>
    <row r="93" spans="1:20" s="654" customFormat="1" ht="12.75" customHeight="1" x14ac:dyDescent="0.2">
      <c r="B93" s="510">
        <v>824000.43099999998</v>
      </c>
      <c r="C93" s="473" t="s">
        <v>762</v>
      </c>
      <c r="D93" s="511">
        <v>32000</v>
      </c>
      <c r="E93" s="511">
        <v>15634</v>
      </c>
      <c r="F93" s="511">
        <f t="shared" si="24"/>
        <v>1421.2727272727273</v>
      </c>
      <c r="G93" s="511">
        <f t="shared" si="23"/>
        <v>17055.272727272728</v>
      </c>
      <c r="H93" s="511">
        <v>32000</v>
      </c>
      <c r="I93" s="511">
        <v>32000</v>
      </c>
      <c r="T93" s="812"/>
    </row>
    <row r="94" spans="1:20" s="654" customFormat="1" ht="12.75" customHeight="1" x14ac:dyDescent="0.2">
      <c r="B94" s="510">
        <v>824000.43200000003</v>
      </c>
      <c r="C94" s="473" t="s">
        <v>763</v>
      </c>
      <c r="D94" s="511">
        <v>3000</v>
      </c>
      <c r="E94" s="511">
        <v>2048</v>
      </c>
      <c r="F94" s="511">
        <f t="shared" si="24"/>
        <v>186.18181818181819</v>
      </c>
      <c r="G94" s="511">
        <f t="shared" si="23"/>
        <v>2234.181818181818</v>
      </c>
      <c r="H94" s="511">
        <v>3000</v>
      </c>
      <c r="I94" s="511">
        <v>3000</v>
      </c>
      <c r="T94" s="812"/>
    </row>
    <row r="95" spans="1:20" s="654" customFormat="1" ht="12.75" customHeight="1" x14ac:dyDescent="0.2">
      <c r="B95" s="510">
        <v>824000.54</v>
      </c>
      <c r="C95" s="473" t="s">
        <v>764</v>
      </c>
      <c r="D95" s="511">
        <v>2400</v>
      </c>
      <c r="E95" s="511">
        <v>1901</v>
      </c>
      <c r="F95" s="511">
        <f t="shared" si="24"/>
        <v>172.81818181818181</v>
      </c>
      <c r="G95" s="511">
        <f t="shared" si="23"/>
        <v>2073.818181818182</v>
      </c>
      <c r="H95" s="511">
        <v>2400</v>
      </c>
      <c r="I95" s="511">
        <v>2400</v>
      </c>
      <c r="T95" s="812"/>
    </row>
    <row r="96" spans="1:20" s="654" customFormat="1" x14ac:dyDescent="0.2">
      <c r="B96" s="510">
        <v>825000.43099999998</v>
      </c>
      <c r="C96" s="473" t="s">
        <v>766</v>
      </c>
      <c r="D96" s="511">
        <v>2000</v>
      </c>
      <c r="E96" s="520">
        <v>0</v>
      </c>
      <c r="F96" s="511">
        <f t="shared" si="24"/>
        <v>0</v>
      </c>
      <c r="G96" s="511">
        <f t="shared" si="23"/>
        <v>0</v>
      </c>
      <c r="H96" s="516">
        <v>2000</v>
      </c>
      <c r="I96" s="516">
        <v>2000</v>
      </c>
      <c r="T96" s="812"/>
    </row>
    <row r="97" spans="2:20" s="654" customFormat="1" x14ac:dyDescent="0.2">
      <c r="B97" s="510">
        <v>825000.43200000003</v>
      </c>
      <c r="C97" s="473" t="s">
        <v>767</v>
      </c>
      <c r="D97" s="511">
        <v>2000</v>
      </c>
      <c r="E97" s="520">
        <v>0</v>
      </c>
      <c r="F97" s="511">
        <f t="shared" si="24"/>
        <v>0</v>
      </c>
      <c r="G97" s="511">
        <f t="shared" si="23"/>
        <v>0</v>
      </c>
      <c r="H97" s="516">
        <v>2000</v>
      </c>
      <c r="I97" s="516">
        <v>2000</v>
      </c>
      <c r="T97" s="812"/>
    </row>
    <row r="98" spans="2:20" s="654" customFormat="1" x14ac:dyDescent="0.2">
      <c r="B98" s="510">
        <v>825000.54</v>
      </c>
      <c r="C98" s="473" t="s">
        <v>768</v>
      </c>
      <c r="D98" s="511">
        <v>2510</v>
      </c>
      <c r="E98" s="511">
        <v>2301</v>
      </c>
      <c r="F98" s="511">
        <f t="shared" si="24"/>
        <v>209.18181818181819</v>
      </c>
      <c r="G98" s="511">
        <f t="shared" si="23"/>
        <v>2510.181818181818</v>
      </c>
      <c r="H98" s="511">
        <v>2600</v>
      </c>
      <c r="I98" s="511">
        <v>2600</v>
      </c>
      <c r="T98" s="812"/>
    </row>
    <row r="99" spans="2:20" s="654" customFormat="1" x14ac:dyDescent="0.2">
      <c r="B99" s="510"/>
      <c r="C99" s="416" t="s">
        <v>769</v>
      </c>
      <c r="D99" s="417">
        <f t="shared" ref="D99:I99" si="25">SUM(D90:D98)</f>
        <v>190318</v>
      </c>
      <c r="E99" s="417">
        <f t="shared" si="25"/>
        <v>139736</v>
      </c>
      <c r="F99" s="417">
        <f t="shared" si="25"/>
        <v>12703.272727272728</v>
      </c>
      <c r="G99" s="417">
        <f t="shared" si="25"/>
        <v>152439.27272727274</v>
      </c>
      <c r="H99" s="417">
        <f t="shared" si="25"/>
        <v>232408</v>
      </c>
      <c r="I99" s="417">
        <f t="shared" si="25"/>
        <v>232408</v>
      </c>
      <c r="T99" s="812"/>
    </row>
    <row r="100" spans="2:20" s="654" customFormat="1" x14ac:dyDescent="0.2">
      <c r="B100" s="510"/>
      <c r="C100" s="419"/>
      <c r="D100" s="511"/>
      <c r="E100" s="552"/>
      <c r="F100" s="511">
        <f>E100/9*3</f>
        <v>0</v>
      </c>
      <c r="G100" s="511">
        <f>E100+F100</f>
        <v>0</v>
      </c>
      <c r="H100" s="511"/>
      <c r="I100" s="511"/>
      <c r="T100" s="812"/>
    </row>
    <row r="101" spans="2:20" s="654" customFormat="1" x14ac:dyDescent="0.2">
      <c r="B101" s="510">
        <v>828100.78</v>
      </c>
      <c r="C101" s="473" t="s">
        <v>771</v>
      </c>
      <c r="D101" s="511">
        <v>45685</v>
      </c>
      <c r="E101" s="511">
        <v>24694</v>
      </c>
      <c r="F101" s="511">
        <f>E101/11</f>
        <v>2244.909090909091</v>
      </c>
      <c r="G101" s="511">
        <f>E101+F101</f>
        <v>26938.909090909092</v>
      </c>
      <c r="H101" s="516">
        <v>45685</v>
      </c>
      <c r="I101" s="516">
        <v>45685</v>
      </c>
      <c r="T101" s="812"/>
    </row>
    <row r="102" spans="2:20" s="654" customFormat="1" x14ac:dyDescent="0.2">
      <c r="B102" s="510">
        <v>828110.75</v>
      </c>
      <c r="C102" s="473" t="s">
        <v>772</v>
      </c>
      <c r="D102" s="511">
        <f>20000+22500</f>
        <v>42500</v>
      </c>
      <c r="E102" s="511">
        <v>13625</v>
      </c>
      <c r="F102" s="511">
        <f>E102/11+27000</f>
        <v>28238.636363636364</v>
      </c>
      <c r="G102" s="511">
        <f>E102+F102</f>
        <v>41863.636363636368</v>
      </c>
      <c r="H102" s="516">
        <v>42500</v>
      </c>
      <c r="I102" s="516">
        <v>42500</v>
      </c>
      <c r="T102" s="812"/>
    </row>
    <row r="103" spans="2:20" s="654" customFormat="1" x14ac:dyDescent="0.2">
      <c r="B103" s="510">
        <v>828200.41</v>
      </c>
      <c r="C103" s="473" t="s">
        <v>773</v>
      </c>
      <c r="D103" s="511">
        <v>30000</v>
      </c>
      <c r="E103" s="511">
        <v>27500</v>
      </c>
      <c r="F103" s="511">
        <f>E103/11</f>
        <v>2500</v>
      </c>
      <c r="G103" s="511">
        <f>E103+F103</f>
        <v>30000</v>
      </c>
      <c r="H103" s="511">
        <v>30000</v>
      </c>
      <c r="I103" s="511">
        <v>30000</v>
      </c>
      <c r="T103" s="812"/>
    </row>
    <row r="104" spans="2:20" s="654" customFormat="1" x14ac:dyDescent="0.2">
      <c r="B104" s="510"/>
      <c r="C104" s="416" t="s">
        <v>774</v>
      </c>
      <c r="D104" s="417">
        <f t="shared" ref="D104:I104" si="26">SUM(D101:D103)</f>
        <v>118185</v>
      </c>
      <c r="E104" s="417">
        <f t="shared" si="26"/>
        <v>65819</v>
      </c>
      <c r="F104" s="417">
        <f t="shared" si="26"/>
        <v>32983.545454545456</v>
      </c>
      <c r="G104" s="417">
        <f t="shared" si="26"/>
        <v>98802.545454545456</v>
      </c>
      <c r="H104" s="417">
        <f t="shared" si="26"/>
        <v>118185</v>
      </c>
      <c r="I104" s="417">
        <f t="shared" si="26"/>
        <v>118185</v>
      </c>
      <c r="T104" s="812"/>
    </row>
    <row r="105" spans="2:20" s="654" customFormat="1" x14ac:dyDescent="0.2">
      <c r="B105" s="510"/>
      <c r="C105" s="419"/>
      <c r="D105" s="511"/>
      <c r="E105" s="552"/>
      <c r="F105" s="511">
        <f>E105/9*3</f>
        <v>0</v>
      </c>
      <c r="G105" s="511">
        <f>E105+F105</f>
        <v>0</v>
      </c>
      <c r="H105" s="511"/>
      <c r="I105" s="511"/>
      <c r="T105" s="812"/>
    </row>
    <row r="106" spans="2:20" s="654" customFormat="1" x14ac:dyDescent="0.2">
      <c r="B106" s="510">
        <v>829000.43200000003</v>
      </c>
      <c r="C106" s="473" t="s">
        <v>776</v>
      </c>
      <c r="D106" s="511">
        <v>10000</v>
      </c>
      <c r="E106" s="511">
        <v>4842</v>
      </c>
      <c r="F106" s="511">
        <f>E106/11</f>
        <v>440.18181818181819</v>
      </c>
      <c r="G106" s="511">
        <f>E106+F106</f>
        <v>5282.181818181818</v>
      </c>
      <c r="H106" s="511">
        <v>10000</v>
      </c>
      <c r="I106" s="511">
        <v>10000</v>
      </c>
      <c r="T106" s="812"/>
    </row>
    <row r="107" spans="2:20" s="378" customFormat="1" x14ac:dyDescent="0.2">
      <c r="B107" s="510">
        <v>829000.75</v>
      </c>
      <c r="C107" s="473" t="s">
        <v>777</v>
      </c>
      <c r="D107" s="516">
        <v>100000</v>
      </c>
      <c r="E107" s="511">
        <v>102817</v>
      </c>
      <c r="F107" s="511">
        <f>E107/11</f>
        <v>9347</v>
      </c>
      <c r="G107" s="511">
        <f>E107+F107</f>
        <v>112164</v>
      </c>
      <c r="H107" s="516">
        <v>100000</v>
      </c>
      <c r="I107" s="516">
        <v>100000</v>
      </c>
      <c r="T107" s="812"/>
    </row>
    <row r="108" spans="2:20" s="378" customFormat="1" x14ac:dyDescent="0.2">
      <c r="B108" s="510"/>
      <c r="C108" s="416" t="s">
        <v>778</v>
      </c>
      <c r="D108" s="417">
        <f t="shared" ref="D108:I108" si="27">SUM(D106:D107)</f>
        <v>110000</v>
      </c>
      <c r="E108" s="417">
        <f t="shared" si="27"/>
        <v>107659</v>
      </c>
      <c r="F108" s="417">
        <f t="shared" si="27"/>
        <v>9787.181818181818</v>
      </c>
      <c r="G108" s="417">
        <f t="shared" si="27"/>
        <v>117446.18181818182</v>
      </c>
      <c r="H108" s="417">
        <f t="shared" si="27"/>
        <v>110000</v>
      </c>
      <c r="I108" s="417">
        <f t="shared" si="27"/>
        <v>110000</v>
      </c>
      <c r="T108" s="812"/>
    </row>
    <row r="109" spans="2:20" s="654" customFormat="1" x14ac:dyDescent="0.2">
      <c r="B109" s="510"/>
      <c r="C109" s="416"/>
      <c r="D109" s="511"/>
      <c r="E109" s="552"/>
      <c r="F109" s="511">
        <f>E109/9*3</f>
        <v>0</v>
      </c>
      <c r="G109" s="511">
        <f>E109+F109</f>
        <v>0</v>
      </c>
      <c r="H109" s="511"/>
      <c r="I109" s="511"/>
      <c r="T109" s="812"/>
    </row>
    <row r="110" spans="2:20" s="653" customFormat="1" ht="15.75" x14ac:dyDescent="0.25">
      <c r="B110" s="450" t="s">
        <v>779</v>
      </c>
      <c r="C110" s="451" t="s">
        <v>780</v>
      </c>
      <c r="D110" s="452">
        <f t="shared" ref="D110:I110" si="28">D99+D104+D108</f>
        <v>418503</v>
      </c>
      <c r="E110" s="452">
        <f t="shared" si="28"/>
        <v>313214</v>
      </c>
      <c r="F110" s="452">
        <f t="shared" si="28"/>
        <v>55474</v>
      </c>
      <c r="G110" s="452">
        <f t="shared" si="28"/>
        <v>368688</v>
      </c>
      <c r="H110" s="452">
        <f t="shared" si="28"/>
        <v>460593</v>
      </c>
      <c r="I110" s="452">
        <f t="shared" si="28"/>
        <v>460593</v>
      </c>
      <c r="T110" s="812" t="e">
        <f>#REF!+#REF!+#REF!+#REF!+#REF!</f>
        <v>#REF!</v>
      </c>
    </row>
    <row r="111" spans="2:20" s="654" customFormat="1" x14ac:dyDescent="0.2">
      <c r="B111" s="510"/>
      <c r="C111" s="419"/>
      <c r="D111" s="511"/>
      <c r="E111" s="552"/>
      <c r="F111" s="511">
        <f>E111/9*3</f>
        <v>0</v>
      </c>
      <c r="G111" s="511">
        <f>E111+F111</f>
        <v>0</v>
      </c>
      <c r="H111" s="511"/>
      <c r="I111" s="511"/>
      <c r="T111" s="812"/>
    </row>
    <row r="112" spans="2:20" ht="12.75" customHeight="1" x14ac:dyDescent="0.2">
      <c r="B112" s="510"/>
      <c r="C112" s="419"/>
      <c r="D112" s="511"/>
      <c r="E112" s="523"/>
      <c r="F112" s="511">
        <f>E112/9*3</f>
        <v>0</v>
      </c>
      <c r="G112" s="511">
        <f>E112+F112</f>
        <v>0</v>
      </c>
      <c r="H112" s="511"/>
      <c r="I112" s="511"/>
      <c r="T112" s="812"/>
    </row>
    <row r="113" spans="2:20" x14ac:dyDescent="0.2">
      <c r="B113" s="510">
        <v>836000.43099999998</v>
      </c>
      <c r="C113" s="473" t="s">
        <v>784</v>
      </c>
      <c r="D113" s="511">
        <v>4000</v>
      </c>
      <c r="E113" s="511">
        <v>0</v>
      </c>
      <c r="F113" s="511">
        <f>E113/11</f>
        <v>0</v>
      </c>
      <c r="G113" s="511">
        <f>E113+F113</f>
        <v>0</v>
      </c>
      <c r="H113" s="511">
        <v>4000</v>
      </c>
      <c r="I113" s="511">
        <v>4000</v>
      </c>
      <c r="T113" s="812"/>
    </row>
    <row r="114" spans="2:20" x14ac:dyDescent="0.2">
      <c r="B114" s="510">
        <v>836000.43200000003</v>
      </c>
      <c r="C114" s="473" t="s">
        <v>785</v>
      </c>
      <c r="D114" s="511">
        <v>4000</v>
      </c>
      <c r="E114" s="511">
        <v>4230</v>
      </c>
      <c r="F114" s="511">
        <f>E114/11</f>
        <v>384.54545454545456</v>
      </c>
      <c r="G114" s="511">
        <f>E114+F114</f>
        <v>4614.545454545455</v>
      </c>
      <c r="H114" s="511">
        <v>4000</v>
      </c>
      <c r="I114" s="511">
        <v>4000</v>
      </c>
      <c r="T114" s="812"/>
    </row>
    <row r="115" spans="2:20" x14ac:dyDescent="0.2">
      <c r="B115" s="510">
        <v>836000.82</v>
      </c>
      <c r="C115" s="473" t="s">
        <v>786</v>
      </c>
      <c r="D115" s="516">
        <v>75000</v>
      </c>
      <c r="E115" s="511">
        <v>73507</v>
      </c>
      <c r="F115" s="511">
        <f>E115/11</f>
        <v>6682.454545454545</v>
      </c>
      <c r="G115" s="511">
        <f>E115+F115</f>
        <v>80189.454545454544</v>
      </c>
      <c r="H115" s="516">
        <v>75000</v>
      </c>
      <c r="I115" s="516">
        <v>75000</v>
      </c>
      <c r="T115" s="812"/>
    </row>
    <row r="116" spans="2:20" x14ac:dyDescent="0.2">
      <c r="B116" s="422" t="s">
        <v>787</v>
      </c>
      <c r="C116" s="416" t="s">
        <v>788</v>
      </c>
      <c r="D116" s="417">
        <f t="shared" ref="D116:I116" si="29">SUM(D113:D115)</f>
        <v>83000</v>
      </c>
      <c r="E116" s="417">
        <f t="shared" si="29"/>
        <v>77737</v>
      </c>
      <c r="F116" s="417">
        <f t="shared" si="29"/>
        <v>7067</v>
      </c>
      <c r="G116" s="417">
        <f t="shared" si="29"/>
        <v>84804</v>
      </c>
      <c r="H116" s="417">
        <f t="shared" si="29"/>
        <v>83000</v>
      </c>
      <c r="I116" s="417">
        <f t="shared" si="29"/>
        <v>83000</v>
      </c>
      <c r="T116" s="812"/>
    </row>
    <row r="117" spans="2:20" x14ac:dyDescent="0.2">
      <c r="B117" s="510"/>
      <c r="C117" s="419"/>
      <c r="D117" s="511"/>
      <c r="E117" s="523"/>
      <c r="F117" s="511">
        <f>E117/9*3</f>
        <v>0</v>
      </c>
      <c r="G117" s="511">
        <f>E117+F117</f>
        <v>0</v>
      </c>
      <c r="H117" s="511"/>
      <c r="I117" s="511"/>
      <c r="T117" s="812"/>
    </row>
    <row r="118" spans="2:20" s="653" customFormat="1" ht="15.75" x14ac:dyDescent="0.25">
      <c r="B118" s="450" t="s">
        <v>789</v>
      </c>
      <c r="C118" s="451" t="s">
        <v>790</v>
      </c>
      <c r="D118" s="452">
        <f>D116</f>
        <v>83000</v>
      </c>
      <c r="E118" s="452">
        <f t="shared" ref="E118:I118" si="30">E116</f>
        <v>77737</v>
      </c>
      <c r="F118" s="452">
        <f t="shared" si="30"/>
        <v>7067</v>
      </c>
      <c r="G118" s="452">
        <f t="shared" si="30"/>
        <v>84804</v>
      </c>
      <c r="H118" s="452">
        <f t="shared" si="30"/>
        <v>83000</v>
      </c>
      <c r="I118" s="452">
        <f t="shared" si="30"/>
        <v>83000</v>
      </c>
      <c r="T118" s="812"/>
    </row>
    <row r="119" spans="2:20" x14ac:dyDescent="0.2">
      <c r="B119" s="421"/>
      <c r="C119" s="419"/>
      <c r="D119" s="410"/>
      <c r="E119" s="523"/>
      <c r="F119" s="511">
        <f>E119/9*3</f>
        <v>0</v>
      </c>
      <c r="G119" s="511">
        <f>E119+F119</f>
        <v>0</v>
      </c>
      <c r="H119" s="410"/>
      <c r="I119" s="410"/>
      <c r="T119" s="812"/>
    </row>
    <row r="120" spans="2:20" x14ac:dyDescent="0.2">
      <c r="B120" s="510">
        <v>851000.43200000003</v>
      </c>
      <c r="C120" s="519" t="s">
        <v>1705</v>
      </c>
      <c r="D120" s="516">
        <v>77915</v>
      </c>
      <c r="E120" s="516">
        <v>57850</v>
      </c>
      <c r="F120" s="511">
        <f>E120/11</f>
        <v>5259.090909090909</v>
      </c>
      <c r="G120" s="511">
        <f>E120+F120</f>
        <v>63109.090909090912</v>
      </c>
      <c r="H120" s="516">
        <v>77915</v>
      </c>
      <c r="I120" s="516">
        <v>77915</v>
      </c>
      <c r="T120" s="812"/>
    </row>
    <row r="121" spans="2:20" s="653" customFormat="1" ht="15.75" x14ac:dyDescent="0.25">
      <c r="B121" s="450" t="s">
        <v>875</v>
      </c>
      <c r="C121" s="451" t="s">
        <v>876</v>
      </c>
      <c r="D121" s="452">
        <f t="shared" ref="D121:I121" si="31">SUM(D120:D120)</f>
        <v>77915</v>
      </c>
      <c r="E121" s="452">
        <f t="shared" si="31"/>
        <v>57850</v>
      </c>
      <c r="F121" s="452">
        <f t="shared" si="31"/>
        <v>5259.090909090909</v>
      </c>
      <c r="G121" s="452">
        <f t="shared" si="31"/>
        <v>63109.090909090912</v>
      </c>
      <c r="H121" s="452">
        <f t="shared" si="31"/>
        <v>77915</v>
      </c>
      <c r="I121" s="452">
        <f t="shared" si="31"/>
        <v>77915</v>
      </c>
      <c r="T121" s="812"/>
    </row>
    <row r="122" spans="2:20" x14ac:dyDescent="0.2">
      <c r="B122" s="510"/>
      <c r="C122" s="473"/>
      <c r="D122" s="511"/>
      <c r="E122" s="523"/>
      <c r="F122" s="511"/>
      <c r="G122" s="511">
        <f>E122+F122</f>
        <v>0</v>
      </c>
      <c r="H122" s="511"/>
      <c r="I122" s="511"/>
      <c r="T122" s="812"/>
    </row>
    <row r="123" spans="2:20" x14ac:dyDescent="0.2">
      <c r="B123" s="510">
        <v>878000.81</v>
      </c>
      <c r="C123" s="473" t="s">
        <v>877</v>
      </c>
      <c r="D123" s="511">
        <f>2500*12</f>
        <v>30000</v>
      </c>
      <c r="E123" s="511">
        <v>0</v>
      </c>
      <c r="F123" s="511">
        <v>30000</v>
      </c>
      <c r="G123" s="511">
        <f>E123+F123</f>
        <v>30000</v>
      </c>
      <c r="H123" s="511">
        <v>30000</v>
      </c>
      <c r="I123" s="511">
        <v>30000</v>
      </c>
      <c r="T123" s="812"/>
    </row>
    <row r="124" spans="2:20" ht="12.75" customHeight="1" x14ac:dyDescent="0.2">
      <c r="B124" s="510">
        <v>878000.75</v>
      </c>
      <c r="C124" s="473" t="s">
        <v>878</v>
      </c>
      <c r="D124" s="511">
        <f>120000</f>
        <v>120000</v>
      </c>
      <c r="E124" s="511">
        <v>0</v>
      </c>
      <c r="F124" s="511">
        <v>120000</v>
      </c>
      <c r="G124" s="511">
        <f>E124+F124</f>
        <v>120000</v>
      </c>
      <c r="H124" s="511">
        <f>120000</f>
        <v>120000</v>
      </c>
      <c r="I124" s="511">
        <v>120000</v>
      </c>
      <c r="T124" s="812"/>
    </row>
    <row r="125" spans="2:20" x14ac:dyDescent="0.2">
      <c r="B125" s="510">
        <v>879000.78</v>
      </c>
      <c r="C125" s="473" t="s">
        <v>879</v>
      </c>
      <c r="D125" s="511">
        <v>30000</v>
      </c>
      <c r="E125" s="511">
        <v>21829</v>
      </c>
      <c r="F125" s="511">
        <f>E125/11</f>
        <v>1984.4545454545455</v>
      </c>
      <c r="G125" s="511">
        <f>E125+F125</f>
        <v>23813.454545454544</v>
      </c>
      <c r="H125" s="511">
        <v>30000</v>
      </c>
      <c r="I125" s="511">
        <v>30000</v>
      </c>
      <c r="T125" s="812"/>
    </row>
    <row r="126" spans="2:20" s="653" customFormat="1" ht="15.75" x14ac:dyDescent="0.25">
      <c r="B126" s="450" t="s">
        <v>880</v>
      </c>
      <c r="C126" s="451" t="s">
        <v>881</v>
      </c>
      <c r="D126" s="452">
        <f t="shared" ref="D126:I126" si="32">SUM(D123:D125)</f>
        <v>180000</v>
      </c>
      <c r="E126" s="452">
        <f t="shared" si="32"/>
        <v>21829</v>
      </c>
      <c r="F126" s="452">
        <f t="shared" si="32"/>
        <v>151984.45454545456</v>
      </c>
      <c r="G126" s="452">
        <f t="shared" si="32"/>
        <v>173813.45454545453</v>
      </c>
      <c r="H126" s="452">
        <f t="shared" si="32"/>
        <v>180000</v>
      </c>
      <c r="I126" s="452">
        <f t="shared" si="32"/>
        <v>180000</v>
      </c>
      <c r="T126" s="812"/>
    </row>
    <row r="127" spans="2:20" x14ac:dyDescent="0.2">
      <c r="B127" s="526"/>
      <c r="C127" s="521"/>
      <c r="D127" s="511"/>
      <c r="E127" s="208"/>
      <c r="F127" s="511">
        <f>E127/9*3</f>
        <v>0</v>
      </c>
      <c r="G127" s="511">
        <f>E127+F127</f>
        <v>0</v>
      </c>
      <c r="H127" s="511"/>
      <c r="I127" s="511"/>
      <c r="T127" s="812"/>
    </row>
    <row r="128" spans="2:20" s="655" customFormat="1" ht="18.75" x14ac:dyDescent="0.3">
      <c r="B128" s="453" t="s">
        <v>882</v>
      </c>
      <c r="C128" s="454" t="s">
        <v>883</v>
      </c>
      <c r="D128" s="455">
        <f>SUM(D126+D118+D110+D121)</f>
        <v>759418</v>
      </c>
      <c r="E128" s="455">
        <f t="shared" ref="E128:I128" si="33">SUM(E126+E118+E110+E121)</f>
        <v>470630</v>
      </c>
      <c r="F128" s="455">
        <f t="shared" si="33"/>
        <v>219784.54545454547</v>
      </c>
      <c r="G128" s="455">
        <f t="shared" si="33"/>
        <v>690414.54545454553</v>
      </c>
      <c r="H128" s="455">
        <f t="shared" si="33"/>
        <v>801508</v>
      </c>
      <c r="I128" s="455">
        <f t="shared" si="33"/>
        <v>801508</v>
      </c>
      <c r="T128" s="812"/>
    </row>
    <row r="129" spans="2:20" s="659" customFormat="1" ht="12.75" customHeight="1" x14ac:dyDescent="0.2">
      <c r="B129" s="526"/>
      <c r="C129" s="419"/>
      <c r="D129" s="511"/>
      <c r="E129" s="208"/>
      <c r="F129" s="511"/>
      <c r="G129" s="511">
        <f>E129+F129</f>
        <v>0</v>
      </c>
      <c r="H129" s="511"/>
      <c r="I129" s="511"/>
      <c r="T129" s="812"/>
    </row>
    <row r="130" spans="2:20" x14ac:dyDescent="0.2">
      <c r="B130" s="510"/>
      <c r="C130" s="473"/>
      <c r="D130" s="511"/>
      <c r="E130" s="208"/>
      <c r="F130" s="511"/>
      <c r="G130" s="511">
        <f>E130+F130</f>
        <v>0</v>
      </c>
      <c r="H130" s="511"/>
      <c r="I130" s="511"/>
      <c r="K130" s="514"/>
      <c r="T130" s="812"/>
    </row>
    <row r="131" spans="2:20" ht="12.75" customHeight="1" x14ac:dyDescent="0.2">
      <c r="B131" s="510">
        <v>938000.41</v>
      </c>
      <c r="C131" s="473" t="s">
        <v>895</v>
      </c>
      <c r="D131" s="516">
        <v>31800</v>
      </c>
      <c r="E131" s="516">
        <v>29150</v>
      </c>
      <c r="F131" s="511">
        <f>E131/11</f>
        <v>2650</v>
      </c>
      <c r="G131" s="511">
        <f>E131+F131</f>
        <v>31800</v>
      </c>
      <c r="H131" s="516">
        <v>31800</v>
      </c>
      <c r="I131" s="516">
        <v>31800</v>
      </c>
      <c r="T131" s="812"/>
    </row>
    <row r="132" spans="2:20" x14ac:dyDescent="0.2">
      <c r="B132" s="510">
        <v>938000.43099999998</v>
      </c>
      <c r="C132" s="473" t="s">
        <v>896</v>
      </c>
      <c r="D132" s="511">
        <v>3000</v>
      </c>
      <c r="E132" s="511">
        <v>1136</v>
      </c>
      <c r="F132" s="511">
        <f>E132/11</f>
        <v>103.27272727272727</v>
      </c>
      <c r="G132" s="511">
        <f>E132+F132</f>
        <v>1239.2727272727273</v>
      </c>
      <c r="H132" s="511">
        <v>725</v>
      </c>
      <c r="I132" s="511">
        <v>725</v>
      </c>
      <c r="T132" s="812"/>
    </row>
    <row r="133" spans="2:20" s="653" customFormat="1" ht="15.75" x14ac:dyDescent="0.25">
      <c r="B133" s="450" t="s">
        <v>897</v>
      </c>
      <c r="C133" s="451" t="s">
        <v>143</v>
      </c>
      <c r="D133" s="452">
        <f t="shared" ref="D133:I133" si="34">SUM(D131:D132)</f>
        <v>34800</v>
      </c>
      <c r="E133" s="452">
        <f t="shared" si="34"/>
        <v>30286</v>
      </c>
      <c r="F133" s="452">
        <f t="shared" si="34"/>
        <v>2753.2727272727275</v>
      </c>
      <c r="G133" s="452">
        <f t="shared" si="34"/>
        <v>33039.272727272728</v>
      </c>
      <c r="H133" s="452">
        <f t="shared" si="34"/>
        <v>32525</v>
      </c>
      <c r="I133" s="452">
        <f t="shared" si="34"/>
        <v>32525</v>
      </c>
      <c r="T133" s="812"/>
    </row>
    <row r="134" spans="2:20" x14ac:dyDescent="0.2">
      <c r="B134" s="415"/>
      <c r="C134" s="416"/>
      <c r="D134" s="511"/>
      <c r="E134" s="208"/>
      <c r="F134" s="511"/>
      <c r="G134" s="511">
        <f>E134+F134</f>
        <v>0</v>
      </c>
      <c r="H134" s="511"/>
      <c r="I134" s="511"/>
      <c r="T134" s="812"/>
    </row>
    <row r="135" spans="2:20" x14ac:dyDescent="0.2">
      <c r="B135" s="510">
        <v>973000.77</v>
      </c>
      <c r="C135" s="473" t="s">
        <v>901</v>
      </c>
      <c r="D135" s="511">
        <v>410000</v>
      </c>
      <c r="E135" s="516">
        <v>208387</v>
      </c>
      <c r="F135" s="511">
        <f>E135/11+182000</f>
        <v>200944.27272727274</v>
      </c>
      <c r="G135" s="511">
        <f>E135+F135</f>
        <v>409331.27272727271</v>
      </c>
      <c r="H135" s="516">
        <f>D135/4</f>
        <v>102500</v>
      </c>
      <c r="I135" s="516">
        <v>0</v>
      </c>
      <c r="T135" s="812"/>
    </row>
    <row r="136" spans="2:20" x14ac:dyDescent="0.2">
      <c r="B136" s="510">
        <v>973100.75</v>
      </c>
      <c r="C136" s="473" t="s">
        <v>902</v>
      </c>
      <c r="D136" s="516">
        <v>170000</v>
      </c>
      <c r="E136" s="516">
        <v>0</v>
      </c>
      <c r="F136" s="511">
        <v>170000</v>
      </c>
      <c r="G136" s="511">
        <f>E136+F136</f>
        <v>170000</v>
      </c>
      <c r="H136" s="516">
        <f>D136/4</f>
        <v>42500</v>
      </c>
      <c r="I136" s="516">
        <v>0</v>
      </c>
      <c r="T136" s="812"/>
    </row>
    <row r="137" spans="2:20" x14ac:dyDescent="0.2">
      <c r="B137" s="510">
        <v>974000.75</v>
      </c>
      <c r="C137" s="473" t="s">
        <v>903</v>
      </c>
      <c r="D137" s="516">
        <f>220000/12*9</f>
        <v>165000</v>
      </c>
      <c r="E137" s="516">
        <v>132230</v>
      </c>
      <c r="F137" s="511">
        <f>E137/11</f>
        <v>12020.90909090909</v>
      </c>
      <c r="G137" s="511">
        <f>E137+F137</f>
        <v>144250.90909090909</v>
      </c>
      <c r="H137" s="516">
        <f>D137/4</f>
        <v>41250</v>
      </c>
      <c r="I137" s="516">
        <v>0</v>
      </c>
      <c r="T137" s="812"/>
    </row>
    <row r="138" spans="2:20" s="653" customFormat="1" ht="15.75" x14ac:dyDescent="0.25">
      <c r="B138" s="450" t="s">
        <v>904</v>
      </c>
      <c r="C138" s="451" t="s">
        <v>905</v>
      </c>
      <c r="D138" s="452">
        <f t="shared" ref="D138:I138" si="35">SUM(D135:D137)</f>
        <v>745000</v>
      </c>
      <c r="E138" s="452">
        <f t="shared" si="35"/>
        <v>340617</v>
      </c>
      <c r="F138" s="452">
        <f t="shared" si="35"/>
        <v>382965.18181818182</v>
      </c>
      <c r="G138" s="452">
        <f t="shared" si="35"/>
        <v>723582.18181818177</v>
      </c>
      <c r="H138" s="452">
        <f t="shared" si="35"/>
        <v>186250</v>
      </c>
      <c r="I138" s="452">
        <f t="shared" si="35"/>
        <v>0</v>
      </c>
      <c r="T138" s="812"/>
    </row>
    <row r="139" spans="2:20" x14ac:dyDescent="0.2">
      <c r="B139" s="510"/>
      <c r="C139" s="473"/>
      <c r="D139" s="511"/>
      <c r="E139" s="523"/>
      <c r="F139" s="511">
        <f>E139/9*3</f>
        <v>0</v>
      </c>
      <c r="G139" s="511">
        <f>E139+F139</f>
        <v>0</v>
      </c>
      <c r="H139" s="511"/>
      <c r="I139" s="511"/>
      <c r="T139" s="812"/>
    </row>
    <row r="140" spans="2:20" ht="12.75" customHeight="1" x14ac:dyDescent="0.2">
      <c r="B140" s="510">
        <v>993000.75</v>
      </c>
      <c r="C140" s="473" t="s">
        <v>1767</v>
      </c>
      <c r="D140" s="511">
        <v>0</v>
      </c>
      <c r="E140" s="523">
        <v>0</v>
      </c>
      <c r="F140" s="511">
        <f>E140/9*3</f>
        <v>0</v>
      </c>
      <c r="G140" s="511">
        <f>E140+F140</f>
        <v>0</v>
      </c>
      <c r="H140" s="511">
        <v>200000</v>
      </c>
      <c r="I140" s="511"/>
      <c r="T140" s="812"/>
    </row>
    <row r="141" spans="2:20" s="653" customFormat="1" ht="15.75" x14ac:dyDescent="0.25">
      <c r="B141" s="450" t="s">
        <v>912</v>
      </c>
      <c r="C141" s="451" t="s">
        <v>913</v>
      </c>
      <c r="D141" s="452">
        <f t="shared" ref="D141:I141" si="36">SUM(D140:D140)</f>
        <v>0</v>
      </c>
      <c r="E141" s="452">
        <f t="shared" si="36"/>
        <v>0</v>
      </c>
      <c r="F141" s="452">
        <f t="shared" si="36"/>
        <v>0</v>
      </c>
      <c r="G141" s="452">
        <f t="shared" si="36"/>
        <v>0</v>
      </c>
      <c r="H141" s="452">
        <f>SUM(H140:H140)</f>
        <v>200000</v>
      </c>
      <c r="I141" s="452">
        <f t="shared" si="36"/>
        <v>0</v>
      </c>
      <c r="T141" s="812"/>
    </row>
    <row r="142" spans="2:20" x14ac:dyDescent="0.2">
      <c r="B142" s="415"/>
      <c r="C142" s="420"/>
      <c r="D142" s="511"/>
      <c r="E142" s="523"/>
      <c r="F142" s="511"/>
      <c r="G142" s="511">
        <f>E142+F142</f>
        <v>0</v>
      </c>
      <c r="H142" s="511"/>
      <c r="I142" s="511"/>
      <c r="T142" s="812"/>
    </row>
    <row r="143" spans="2:20" s="655" customFormat="1" ht="18.75" x14ac:dyDescent="0.3">
      <c r="B143" s="453" t="s">
        <v>914</v>
      </c>
      <c r="C143" s="454" t="s">
        <v>140</v>
      </c>
      <c r="D143" s="455">
        <f t="shared" ref="D143:I143" si="37">D133+D138+D141</f>
        <v>779800</v>
      </c>
      <c r="E143" s="455">
        <f t="shared" si="37"/>
        <v>370903</v>
      </c>
      <c r="F143" s="455">
        <f t="shared" si="37"/>
        <v>385718.45454545453</v>
      </c>
      <c r="G143" s="455">
        <f t="shared" si="37"/>
        <v>756621.45454545447</v>
      </c>
      <c r="H143" s="455">
        <f t="shared" si="37"/>
        <v>418775</v>
      </c>
      <c r="I143" s="455">
        <f t="shared" si="37"/>
        <v>32525</v>
      </c>
      <c r="T143" s="812"/>
    </row>
    <row r="144" spans="2:20" ht="15.75" x14ac:dyDescent="0.25">
      <c r="B144" s="510"/>
      <c r="C144" s="473"/>
      <c r="D144" s="527"/>
      <c r="E144" s="523"/>
      <c r="F144" s="511">
        <f>E144/9*3</f>
        <v>0</v>
      </c>
      <c r="G144" s="511">
        <f>E144+F144</f>
        <v>0</v>
      </c>
      <c r="H144" s="527"/>
      <c r="I144" s="527"/>
      <c r="T144" s="812"/>
    </row>
    <row r="145" spans="2:20" s="660" customFormat="1" ht="18.75" x14ac:dyDescent="0.3">
      <c r="B145" s="528"/>
      <c r="C145" s="456" t="s">
        <v>432</v>
      </c>
      <c r="D145" s="457">
        <f t="shared" ref="D145:I145" si="38">D42+D87+D128+D143</f>
        <v>14055459</v>
      </c>
      <c r="E145" s="457">
        <f t="shared" si="38"/>
        <v>11291226</v>
      </c>
      <c r="F145" s="457">
        <f t="shared" si="38"/>
        <v>2719629.6363636362</v>
      </c>
      <c r="G145" s="457">
        <f t="shared" si="38"/>
        <v>14010855.636363637</v>
      </c>
      <c r="H145" s="457">
        <f t="shared" si="38"/>
        <v>15931408</v>
      </c>
      <c r="I145" s="457">
        <f t="shared" si="38"/>
        <v>13006570</v>
      </c>
      <c r="T145" s="812"/>
    </row>
    <row r="146" spans="2:20" ht="15.75" x14ac:dyDescent="0.25">
      <c r="B146" s="510"/>
      <c r="C146" s="473"/>
      <c r="D146" s="527"/>
      <c r="E146" s="523"/>
      <c r="F146" s="523"/>
      <c r="G146" s="523"/>
      <c r="H146" s="527"/>
      <c r="I146" s="527"/>
      <c r="T146" s="812"/>
    </row>
    <row r="147" spans="2:20" x14ac:dyDescent="0.2">
      <c r="D147" s="494">
        <f>'טבלה מעודכנת '!B30</f>
        <v>11003</v>
      </c>
      <c r="E147" s="494">
        <f ca="1">'טבלה מעודכנת '!C30</f>
        <v>14380.178</v>
      </c>
      <c r="F147" s="494">
        <f ca="1">'טבלה מעודכנת '!D30</f>
        <v>-833.57996363636357</v>
      </c>
      <c r="G147" s="494">
        <f>'טבלה מעודכנת '!E30</f>
        <v>14380</v>
      </c>
      <c r="H147" s="494">
        <f>'טבלה מעודכנת '!F30</f>
        <v>11003</v>
      </c>
      <c r="I147" s="494" t="e">
        <f ca="1">'טבלה מעודכנת '!I30</f>
        <v>#VALUE!</v>
      </c>
      <c r="T147" s="812"/>
    </row>
    <row r="148" spans="2:20" x14ac:dyDescent="0.2">
      <c r="C148" s="890"/>
      <c r="D148" s="661">
        <f>D145/1000-D147</f>
        <v>3052.4590000000007</v>
      </c>
      <c r="E148" s="661">
        <f t="shared" ref="E148:I148" ca="1" si="39">E145/1000-E147</f>
        <v>-3088.9519999999993</v>
      </c>
      <c r="F148" s="661">
        <f t="shared" ca="1" si="39"/>
        <v>3553.2095999999997</v>
      </c>
      <c r="G148" s="661">
        <f t="shared" si="39"/>
        <v>-369.14436363636378</v>
      </c>
      <c r="H148" s="661">
        <f t="shared" si="39"/>
        <v>4928.4079999999994</v>
      </c>
      <c r="I148" s="661" t="e">
        <f t="shared" ca="1" si="39"/>
        <v>#VALUE!</v>
      </c>
      <c r="J148" s="661">
        <f t="shared" ref="J148:S148" si="40">J145/1000-J147</f>
        <v>0</v>
      </c>
      <c r="K148" s="661">
        <f t="shared" si="40"/>
        <v>0</v>
      </c>
      <c r="L148" s="661">
        <f t="shared" si="40"/>
        <v>0</v>
      </c>
      <c r="M148" s="661">
        <f t="shared" si="40"/>
        <v>0</v>
      </c>
      <c r="N148" s="661">
        <f t="shared" si="40"/>
        <v>0</v>
      </c>
      <c r="O148" s="661">
        <f t="shared" si="40"/>
        <v>0</v>
      </c>
      <c r="P148" s="661">
        <f t="shared" si="40"/>
        <v>0</v>
      </c>
      <c r="Q148" s="661">
        <f t="shared" si="40"/>
        <v>0</v>
      </c>
      <c r="R148" s="661">
        <f t="shared" si="40"/>
        <v>0</v>
      </c>
      <c r="S148" s="661">
        <f t="shared" si="40"/>
        <v>0</v>
      </c>
    </row>
    <row r="149" spans="2:20" x14ac:dyDescent="0.2">
      <c r="C149" s="890"/>
      <c r="D149" s="888"/>
      <c r="E149" s="888"/>
      <c r="F149" s="888"/>
      <c r="G149" s="888"/>
      <c r="H149" s="888"/>
      <c r="I149" s="888"/>
      <c r="J149" s="494">
        <f ca="1">'טבלה מעודכנת '!J49</f>
        <v>0</v>
      </c>
      <c r="K149" s="494">
        <f ca="1">'טבלה מעודכנת '!K49</f>
        <v>0</v>
      </c>
      <c r="L149" s="494">
        <f ca="1">'טבלה מעודכנת '!L49</f>
        <v>0</v>
      </c>
      <c r="M149" s="494">
        <f ca="1">'טבלה מעודכנת '!M49</f>
        <v>55257.022929999992</v>
      </c>
      <c r="N149" s="494">
        <f ca="1">'טבלה מעודכנת '!O49</f>
        <v>75646.058202514294</v>
      </c>
      <c r="O149" s="494">
        <f ca="1">'טבלה מעודכנת '!P49</f>
        <v>65284.696322727425</v>
      </c>
      <c r="P149" s="494">
        <f>'טבלה מעודכנת '!Q49</f>
        <v>0</v>
      </c>
      <c r="Q149" s="494">
        <f>'טבלה מעודכנת '!R49</f>
        <v>0</v>
      </c>
      <c r="R149" s="494">
        <f>'טבלה מעודכנת '!S49</f>
        <v>0</v>
      </c>
      <c r="S149" s="494">
        <f>'טבלה מעודכנת '!T49</f>
        <v>0</v>
      </c>
    </row>
    <row r="150" spans="2:20" x14ac:dyDescent="0.2">
      <c r="C150" s="890"/>
      <c r="D150" s="891"/>
      <c r="E150" s="889"/>
      <c r="F150" s="892"/>
      <c r="G150" s="889"/>
      <c r="H150" s="891"/>
      <c r="I150" s="891"/>
    </row>
    <row r="151" spans="2:20" x14ac:dyDescent="0.2">
      <c r="I151" s="494"/>
    </row>
  </sheetData>
  <autoFilter ref="B1:M145"/>
  <pageMargins left="0.25" right="0.25" top="0.75" bottom="0.75" header="0.3" footer="0.3"/>
  <pageSetup paperSize="9" orientation="portrait" r:id="rId1"/>
  <headerFooter>
    <oddHeader>&amp;C&amp;"David,Regular"&amp;12&amp;Uמועצה מקומית עוספיהפירוט פעולות כלליות</oddHeader>
    <oddFooter>&amp;C&amp;"David,Regular"&amp;11עמוד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rightToLeft="1" view="pageLayout" topLeftCell="B40" workbookViewId="0">
      <selection activeCell="A21" sqref="A18:K22"/>
    </sheetView>
  </sheetViews>
  <sheetFormatPr defaultColWidth="9.140625" defaultRowHeight="12.75" x14ac:dyDescent="0.2"/>
  <cols>
    <col min="1" max="1" width="0" style="513" hidden="1" customWidth="1"/>
    <col min="2" max="2" width="11.7109375" style="815" bestFit="1" customWidth="1"/>
    <col min="3" max="3" width="33.28515625" style="816" bestFit="1" customWidth="1"/>
    <col min="4" max="4" width="12.140625" style="513" bestFit="1" customWidth="1"/>
    <col min="5" max="5" width="12.140625" style="513" hidden="1" customWidth="1"/>
    <col min="6" max="7" width="12.140625" style="513" bestFit="1" customWidth="1"/>
    <col min="8" max="9" width="9.140625" style="513" hidden="1" customWidth="1"/>
    <col min="10" max="10" width="11.140625" style="513" hidden="1" customWidth="1"/>
    <col min="11" max="17" width="9.140625" style="513" hidden="1" customWidth="1"/>
    <col min="18" max="16384" width="9.140625" style="513"/>
  </cols>
  <sheetData>
    <row r="1" spans="1:7" x14ac:dyDescent="0.2">
      <c r="B1" s="851" t="s">
        <v>539</v>
      </c>
      <c r="C1" s="852" t="s">
        <v>540</v>
      </c>
      <c r="D1" s="853" t="s">
        <v>541</v>
      </c>
      <c r="E1" s="853" t="s">
        <v>65</v>
      </c>
      <c r="F1" s="853" t="s">
        <v>542</v>
      </c>
      <c r="G1" s="853" t="s">
        <v>542</v>
      </c>
    </row>
    <row r="2" spans="1:7" x14ac:dyDescent="0.2">
      <c r="B2" s="854" t="s">
        <v>543</v>
      </c>
      <c r="C2" s="791" t="s">
        <v>544</v>
      </c>
      <c r="D2" s="853" t="s">
        <v>545</v>
      </c>
      <c r="E2" s="853" t="s">
        <v>546</v>
      </c>
      <c r="F2" s="853" t="s">
        <v>547</v>
      </c>
      <c r="G2" s="853" t="s">
        <v>548</v>
      </c>
    </row>
    <row r="3" spans="1:7" x14ac:dyDescent="0.2">
      <c r="B3" s="867">
        <v>811000.11</v>
      </c>
      <c r="C3" s="519" t="s">
        <v>659</v>
      </c>
      <c r="D3" s="516">
        <v>548000</v>
      </c>
      <c r="E3" s="516">
        <v>238146</v>
      </c>
      <c r="F3" s="516">
        <v>468000</v>
      </c>
      <c r="G3" s="516">
        <v>468000</v>
      </c>
    </row>
    <row r="4" spans="1:7" s="656" customFormat="1" x14ac:dyDescent="0.2">
      <c r="A4" s="817"/>
      <c r="B4" s="414" t="s">
        <v>663</v>
      </c>
      <c r="C4" s="459" t="s">
        <v>664</v>
      </c>
      <c r="D4" s="460">
        <f>D3</f>
        <v>548000</v>
      </c>
      <c r="E4" s="460">
        <f t="shared" ref="E4:G4" si="0">E3</f>
        <v>238146</v>
      </c>
      <c r="F4" s="460">
        <f t="shared" si="0"/>
        <v>468000</v>
      </c>
      <c r="G4" s="460">
        <f t="shared" si="0"/>
        <v>468000</v>
      </c>
    </row>
    <row r="5" spans="1:7" s="656" customFormat="1" x14ac:dyDescent="0.2">
      <c r="A5" s="817"/>
      <c r="B5" s="518"/>
      <c r="C5" s="519"/>
      <c r="D5" s="516"/>
      <c r="E5" s="552"/>
      <c r="F5" s="516"/>
      <c r="G5" s="516"/>
    </row>
    <row r="6" spans="1:7" s="656" customFormat="1" x14ac:dyDescent="0.2">
      <c r="A6" s="817"/>
      <c r="B6" s="518">
        <v>812200.11</v>
      </c>
      <c r="C6" s="519" t="s">
        <v>665</v>
      </c>
      <c r="D6" s="516">
        <v>2143000</v>
      </c>
      <c r="E6" s="516">
        <v>1031427</v>
      </c>
      <c r="F6" s="516">
        <v>2090000</v>
      </c>
      <c r="G6" s="516">
        <v>1950000</v>
      </c>
    </row>
    <row r="7" spans="1:7" s="656" customFormat="1" x14ac:dyDescent="0.2">
      <c r="A7" s="817"/>
      <c r="B7" s="518">
        <v>812201.11</v>
      </c>
      <c r="C7" s="519" t="s">
        <v>668</v>
      </c>
      <c r="D7" s="516">
        <v>582000</v>
      </c>
      <c r="E7" s="516">
        <v>285020</v>
      </c>
      <c r="F7" s="516">
        <v>503000</v>
      </c>
      <c r="G7" s="516">
        <v>463000</v>
      </c>
    </row>
    <row r="8" spans="1:7" s="656" customFormat="1" x14ac:dyDescent="0.2">
      <c r="A8" s="817"/>
      <c r="B8" s="518">
        <v>812202.11</v>
      </c>
      <c r="C8" s="519" t="s">
        <v>669</v>
      </c>
      <c r="D8" s="516">
        <v>136100</v>
      </c>
      <c r="E8" s="516">
        <v>18029</v>
      </c>
      <c r="F8" s="516">
        <v>136100</v>
      </c>
      <c r="G8" s="516">
        <v>136100</v>
      </c>
    </row>
    <row r="9" spans="1:7" s="656" customFormat="1" x14ac:dyDescent="0.2">
      <c r="A9" s="817"/>
      <c r="B9" s="518">
        <v>812203.11</v>
      </c>
      <c r="C9" s="519" t="s">
        <v>670</v>
      </c>
      <c r="D9" s="516">
        <v>312000</v>
      </c>
      <c r="E9" s="516">
        <v>145475</v>
      </c>
      <c r="F9" s="516">
        <v>352000</v>
      </c>
      <c r="G9" s="516">
        <v>352000</v>
      </c>
    </row>
    <row r="10" spans="1:7" s="656" customFormat="1" x14ac:dyDescent="0.2">
      <c r="A10" s="817"/>
      <c r="B10" s="518">
        <v>812502.11</v>
      </c>
      <c r="C10" s="519" t="s">
        <v>677</v>
      </c>
      <c r="D10" s="516">
        <v>144000</v>
      </c>
      <c r="E10" s="516">
        <v>65291</v>
      </c>
      <c r="F10" s="516">
        <v>144000</v>
      </c>
      <c r="G10" s="516">
        <v>144000</v>
      </c>
    </row>
    <row r="11" spans="1:7" x14ac:dyDescent="0.2">
      <c r="A11" s="817"/>
      <c r="B11" s="518">
        <v>812512.11</v>
      </c>
      <c r="C11" s="519" t="s">
        <v>680</v>
      </c>
      <c r="D11" s="516">
        <v>110000</v>
      </c>
      <c r="E11" s="516">
        <v>19645</v>
      </c>
      <c r="F11" s="516">
        <v>110000</v>
      </c>
      <c r="G11" s="516">
        <v>110000</v>
      </c>
    </row>
    <row r="12" spans="1:7" x14ac:dyDescent="0.2">
      <c r="A12" s="817"/>
      <c r="B12" s="518">
        <v>812513.11</v>
      </c>
      <c r="C12" s="519" t="s">
        <v>681</v>
      </c>
      <c r="D12" s="516">
        <v>240000</v>
      </c>
      <c r="E12" s="516">
        <v>45868</v>
      </c>
      <c r="F12" s="516">
        <v>240000</v>
      </c>
      <c r="G12" s="516">
        <v>240000</v>
      </c>
    </row>
    <row r="13" spans="1:7" x14ac:dyDescent="0.2">
      <c r="A13" s="817"/>
      <c r="B13" s="518">
        <v>812515.11</v>
      </c>
      <c r="C13" s="519" t="s">
        <v>683</v>
      </c>
      <c r="D13" s="516">
        <v>50600</v>
      </c>
      <c r="E13" s="516">
        <v>25819</v>
      </c>
      <c r="F13" s="516">
        <v>50600</v>
      </c>
      <c r="G13" s="516">
        <v>50600</v>
      </c>
    </row>
    <row r="14" spans="1:7" x14ac:dyDescent="0.2">
      <c r="A14" s="817"/>
      <c r="B14" s="518">
        <v>812517.11</v>
      </c>
      <c r="C14" s="519" t="s">
        <v>684</v>
      </c>
      <c r="D14" s="516">
        <v>68500</v>
      </c>
      <c r="E14" s="516">
        <v>0</v>
      </c>
      <c r="F14" s="516">
        <v>68500</v>
      </c>
      <c r="G14" s="516">
        <v>68500</v>
      </c>
    </row>
    <row r="15" spans="1:7" x14ac:dyDescent="0.2">
      <c r="A15" s="817"/>
      <c r="B15" s="414" t="s">
        <v>685</v>
      </c>
      <c r="C15" s="459" t="s">
        <v>686</v>
      </c>
      <c r="D15" s="460">
        <f>SUM(D6:D14)</f>
        <v>3786200</v>
      </c>
      <c r="E15" s="460">
        <f t="shared" ref="E15:G15" si="1">SUM(E6:E14)</f>
        <v>1636574</v>
      </c>
      <c r="F15" s="460">
        <f>SUM(F6:F14)</f>
        <v>3694200</v>
      </c>
      <c r="G15" s="460">
        <f t="shared" si="1"/>
        <v>3514200</v>
      </c>
    </row>
    <row r="16" spans="1:7" x14ac:dyDescent="0.2">
      <c r="A16" s="817"/>
      <c r="B16" s="518"/>
      <c r="C16" s="855"/>
      <c r="D16" s="516"/>
      <c r="E16" s="552"/>
      <c r="F16" s="516"/>
      <c r="G16" s="516"/>
    </row>
    <row r="17" spans="1:17" x14ac:dyDescent="0.2">
      <c r="A17" s="817"/>
      <c r="B17" s="518">
        <v>813200.11</v>
      </c>
      <c r="C17" s="519" t="s">
        <v>687</v>
      </c>
      <c r="D17" s="516">
        <v>271713</v>
      </c>
      <c r="E17" s="516">
        <v>136625</v>
      </c>
      <c r="F17" s="516">
        <v>252000</v>
      </c>
      <c r="G17" s="516">
        <v>252000</v>
      </c>
    </row>
    <row r="18" spans="1:17" x14ac:dyDescent="0.2">
      <c r="A18" s="817"/>
      <c r="B18" s="518">
        <v>813201.11</v>
      </c>
      <c r="C18" s="519" t="s">
        <v>694</v>
      </c>
      <c r="D18" s="516">
        <v>542000</v>
      </c>
      <c r="E18" s="516">
        <v>276877</v>
      </c>
      <c r="F18" s="516">
        <v>542000</v>
      </c>
      <c r="G18" s="516">
        <v>422000</v>
      </c>
    </row>
    <row r="19" spans="1:17" x14ac:dyDescent="0.2">
      <c r="A19" s="817"/>
      <c r="B19" s="518">
        <v>813202.11</v>
      </c>
      <c r="C19" s="519" t="s">
        <v>695</v>
      </c>
      <c r="D19" s="516">
        <v>932000</v>
      </c>
      <c r="E19" s="516">
        <v>496325</v>
      </c>
      <c r="F19" s="516">
        <v>892000</v>
      </c>
      <c r="G19" s="516">
        <v>632000</v>
      </c>
    </row>
    <row r="20" spans="1:17" x14ac:dyDescent="0.2">
      <c r="A20" s="817"/>
      <c r="B20" s="518">
        <v>813204.11</v>
      </c>
      <c r="C20" s="519" t="s">
        <v>696</v>
      </c>
      <c r="D20" s="516">
        <v>80000</v>
      </c>
      <c r="E20" s="516">
        <v>39476</v>
      </c>
      <c r="F20" s="516">
        <v>80000</v>
      </c>
      <c r="G20" s="516">
        <v>80000</v>
      </c>
    </row>
    <row r="21" spans="1:17" x14ac:dyDescent="0.2">
      <c r="B21" s="518">
        <v>813300.11</v>
      </c>
      <c r="C21" s="519" t="s">
        <v>702</v>
      </c>
      <c r="D21" s="516">
        <v>654000</v>
      </c>
      <c r="E21" s="516">
        <v>314535</v>
      </c>
      <c r="F21" s="516">
        <v>724000</v>
      </c>
      <c r="G21" s="516">
        <v>724000</v>
      </c>
    </row>
    <row r="22" spans="1:17" x14ac:dyDescent="0.2">
      <c r="B22" s="518">
        <v>813310.11</v>
      </c>
      <c r="C22" s="519" t="s">
        <v>703</v>
      </c>
      <c r="D22" s="516">
        <v>395000</v>
      </c>
      <c r="E22" s="516">
        <v>106435</v>
      </c>
      <c r="F22" s="516">
        <v>468200</v>
      </c>
      <c r="G22" s="516">
        <v>468200</v>
      </c>
    </row>
    <row r="23" spans="1:17" x14ac:dyDescent="0.2">
      <c r="B23" s="518">
        <v>813320.11</v>
      </c>
      <c r="C23" s="519" t="s">
        <v>704</v>
      </c>
      <c r="D23" s="516">
        <v>620000</v>
      </c>
      <c r="E23" s="516">
        <v>331041</v>
      </c>
      <c r="F23" s="516">
        <v>676000</v>
      </c>
      <c r="G23" s="516">
        <v>676000</v>
      </c>
    </row>
    <row r="24" spans="1:17" x14ac:dyDescent="0.2">
      <c r="B24" s="414" t="s">
        <v>705</v>
      </c>
      <c r="C24" s="459" t="s">
        <v>706</v>
      </c>
      <c r="D24" s="460">
        <f>SUM(D17:D23)</f>
        <v>3494713</v>
      </c>
      <c r="E24" s="460">
        <f t="shared" ref="E24:Q24" si="2">SUM(E17:E23)</f>
        <v>1701314</v>
      </c>
      <c r="F24" s="460">
        <f t="shared" si="2"/>
        <v>3634200</v>
      </c>
      <c r="G24" s="460">
        <f t="shared" si="2"/>
        <v>3254200</v>
      </c>
      <c r="H24" s="460">
        <f t="shared" si="2"/>
        <v>0</v>
      </c>
      <c r="I24" s="460">
        <f t="shared" si="2"/>
        <v>0</v>
      </c>
      <c r="J24" s="460">
        <f t="shared" si="2"/>
        <v>0</v>
      </c>
      <c r="K24" s="460">
        <f t="shared" si="2"/>
        <v>0</v>
      </c>
      <c r="L24" s="460">
        <f t="shared" si="2"/>
        <v>0</v>
      </c>
      <c r="M24" s="460">
        <f t="shared" si="2"/>
        <v>0</v>
      </c>
      <c r="N24" s="460">
        <f t="shared" si="2"/>
        <v>0</v>
      </c>
      <c r="O24" s="460">
        <f t="shared" si="2"/>
        <v>0</v>
      </c>
      <c r="P24" s="460">
        <f t="shared" si="2"/>
        <v>0</v>
      </c>
      <c r="Q24" s="460">
        <f t="shared" si="2"/>
        <v>0</v>
      </c>
    </row>
    <row r="25" spans="1:17" x14ac:dyDescent="0.2">
      <c r="B25" s="414"/>
      <c r="C25" s="459"/>
      <c r="D25" s="516"/>
      <c r="E25" s="552"/>
      <c r="F25" s="516"/>
      <c r="G25" s="516"/>
    </row>
    <row r="26" spans="1:17" x14ac:dyDescent="0.2">
      <c r="B26" s="518">
        <v>814000.11</v>
      </c>
      <c r="C26" s="519" t="s">
        <v>707</v>
      </c>
      <c r="D26" s="516">
        <v>1070000</v>
      </c>
      <c r="E26" s="516">
        <v>544393</v>
      </c>
      <c r="F26" s="516">
        <v>775000</v>
      </c>
      <c r="G26" s="516">
        <v>640000</v>
      </c>
    </row>
    <row r="27" spans="1:17" x14ac:dyDescent="0.2">
      <c r="B27" s="414" t="s">
        <v>714</v>
      </c>
      <c r="C27" s="863" t="s">
        <v>715</v>
      </c>
      <c r="D27" s="460">
        <f>D26</f>
        <v>1070000</v>
      </c>
      <c r="E27" s="460">
        <f t="shared" ref="E27:G27" si="3">E26</f>
        <v>544393</v>
      </c>
      <c r="F27" s="460">
        <f t="shared" si="3"/>
        <v>775000</v>
      </c>
      <c r="G27" s="460">
        <f t="shared" si="3"/>
        <v>640000</v>
      </c>
    </row>
    <row r="28" spans="1:17" x14ac:dyDescent="0.2">
      <c r="B28" s="414"/>
      <c r="C28" s="863"/>
      <c r="D28" s="460"/>
      <c r="E28" s="523"/>
      <c r="F28" s="460"/>
      <c r="G28" s="460"/>
    </row>
    <row r="29" spans="1:17" x14ac:dyDescent="0.2">
      <c r="B29" s="518">
        <v>815200.11</v>
      </c>
      <c r="C29" s="519" t="s">
        <v>716</v>
      </c>
      <c r="D29" s="516">
        <v>610000</v>
      </c>
      <c r="E29" s="516">
        <v>265243</v>
      </c>
      <c r="F29" s="516">
        <v>101666.66666666667</v>
      </c>
      <c r="G29" s="516">
        <v>0</v>
      </c>
    </row>
    <row r="30" spans="1:17" x14ac:dyDescent="0.2">
      <c r="B30" s="414" t="s">
        <v>717</v>
      </c>
      <c r="C30" s="863" t="s">
        <v>718</v>
      </c>
      <c r="D30" s="460">
        <f>D29</f>
        <v>610000</v>
      </c>
      <c r="E30" s="460">
        <f t="shared" ref="E30:G30" si="4">E29</f>
        <v>265243</v>
      </c>
      <c r="F30" s="460">
        <f t="shared" si="4"/>
        <v>101666.66666666667</v>
      </c>
      <c r="G30" s="460">
        <f t="shared" si="4"/>
        <v>0</v>
      </c>
    </row>
    <row r="31" spans="1:17" x14ac:dyDescent="0.2">
      <c r="B31" s="414"/>
      <c r="C31" s="863"/>
      <c r="D31" s="460"/>
      <c r="E31" s="523"/>
      <c r="F31" s="460"/>
      <c r="G31" s="460"/>
    </row>
    <row r="32" spans="1:17" x14ac:dyDescent="0.2">
      <c r="B32" s="518">
        <v>817100.11</v>
      </c>
      <c r="C32" s="519" t="s">
        <v>719</v>
      </c>
      <c r="D32" s="516">
        <v>54568</v>
      </c>
      <c r="E32" s="516">
        <v>33834</v>
      </c>
      <c r="F32" s="516">
        <v>60000</v>
      </c>
      <c r="G32" s="516">
        <v>60000</v>
      </c>
    </row>
    <row r="33" spans="2:7" x14ac:dyDescent="0.2">
      <c r="B33" s="518">
        <v>817120.11</v>
      </c>
      <c r="C33" s="519" t="s">
        <v>721</v>
      </c>
      <c r="D33" s="516">
        <v>40000</v>
      </c>
      <c r="E33" s="516">
        <v>0</v>
      </c>
      <c r="F33" s="516">
        <v>40000</v>
      </c>
      <c r="G33" s="516">
        <v>40000</v>
      </c>
    </row>
    <row r="34" spans="2:7" x14ac:dyDescent="0.2">
      <c r="B34" s="518">
        <v>817200.11</v>
      </c>
      <c r="C34" s="519" t="s">
        <v>722</v>
      </c>
      <c r="D34" s="516">
        <v>46000</v>
      </c>
      <c r="E34" s="516">
        <v>24420</v>
      </c>
      <c r="F34" s="516">
        <v>46000</v>
      </c>
      <c r="G34" s="516">
        <v>46000</v>
      </c>
    </row>
    <row r="35" spans="2:7" x14ac:dyDescent="0.2">
      <c r="B35" s="518">
        <v>817300.11</v>
      </c>
      <c r="C35" s="519" t="s">
        <v>724</v>
      </c>
      <c r="D35" s="516">
        <v>707000</v>
      </c>
      <c r="E35" s="516">
        <v>344931</v>
      </c>
      <c r="F35" s="516">
        <v>707000</v>
      </c>
      <c r="G35" s="516">
        <v>707000</v>
      </c>
    </row>
    <row r="36" spans="2:7" x14ac:dyDescent="0.2">
      <c r="B36" s="518">
        <v>817600.11</v>
      </c>
      <c r="C36" s="519" t="s">
        <v>732</v>
      </c>
      <c r="D36" s="516">
        <v>171000</v>
      </c>
      <c r="E36" s="516">
        <v>87712</v>
      </c>
      <c r="F36" s="516">
        <v>135000</v>
      </c>
      <c r="G36" s="516">
        <v>135000</v>
      </c>
    </row>
    <row r="37" spans="2:7" x14ac:dyDescent="0.2">
      <c r="B37" s="864">
        <v>817700.11</v>
      </c>
      <c r="C37" s="858" t="s">
        <v>736</v>
      </c>
      <c r="D37" s="859">
        <v>130000</v>
      </c>
      <c r="E37" s="516">
        <v>35025</v>
      </c>
      <c r="F37" s="516">
        <v>130000</v>
      </c>
      <c r="G37" s="516">
        <v>130000</v>
      </c>
    </row>
    <row r="38" spans="2:7" x14ac:dyDescent="0.2">
      <c r="B38" s="518">
        <v>817800.11</v>
      </c>
      <c r="C38" s="519" t="s">
        <v>737</v>
      </c>
      <c r="D38" s="516">
        <v>50000</v>
      </c>
      <c r="E38" s="516">
        <v>29194</v>
      </c>
      <c r="F38" s="516">
        <v>50000</v>
      </c>
      <c r="G38" s="516">
        <v>50000</v>
      </c>
    </row>
    <row r="39" spans="2:7" x14ac:dyDescent="0.2">
      <c r="B39" s="518">
        <v>817910.11</v>
      </c>
      <c r="C39" s="519" t="s">
        <v>746</v>
      </c>
      <c r="D39" s="516">
        <v>146000</v>
      </c>
      <c r="E39" s="516">
        <v>71525</v>
      </c>
      <c r="F39" s="516">
        <v>146000</v>
      </c>
      <c r="G39" s="516">
        <v>146000</v>
      </c>
    </row>
    <row r="40" spans="2:7" x14ac:dyDescent="0.2">
      <c r="B40" s="414" t="s">
        <v>748</v>
      </c>
      <c r="C40" s="459" t="s">
        <v>749</v>
      </c>
      <c r="D40" s="460">
        <f>SUM(D32:D39)</f>
        <v>1344568</v>
      </c>
      <c r="E40" s="460">
        <f t="shared" ref="E40:G40" si="5">SUM(E32:E39)</f>
        <v>626641</v>
      </c>
      <c r="F40" s="460">
        <f t="shared" si="5"/>
        <v>1314000</v>
      </c>
      <c r="G40" s="460">
        <f t="shared" si="5"/>
        <v>1314000</v>
      </c>
    </row>
    <row r="41" spans="2:7" x14ac:dyDescent="0.2">
      <c r="B41" s="518"/>
      <c r="C41" s="855"/>
      <c r="D41" s="516"/>
      <c r="E41" s="523"/>
      <c r="F41" s="516"/>
      <c r="G41" s="516"/>
    </row>
    <row r="42" spans="2:7" x14ac:dyDescent="0.2">
      <c r="B42" s="518">
        <v>819000.11</v>
      </c>
      <c r="C42" s="519" t="s">
        <v>752</v>
      </c>
      <c r="D42" s="516">
        <v>377000</v>
      </c>
      <c r="E42" s="516">
        <v>196099</v>
      </c>
      <c r="F42" s="516">
        <v>377000</v>
      </c>
      <c r="G42" s="516">
        <v>377000</v>
      </c>
    </row>
    <row r="43" spans="2:7" x14ac:dyDescent="0.2">
      <c r="B43" s="414" t="s">
        <v>754</v>
      </c>
      <c r="C43" s="459" t="s">
        <v>755</v>
      </c>
      <c r="D43" s="460">
        <f>D42</f>
        <v>377000</v>
      </c>
      <c r="E43" s="460">
        <f t="shared" ref="E43:G43" si="6">E42</f>
        <v>196099</v>
      </c>
      <c r="F43" s="460">
        <f t="shared" si="6"/>
        <v>377000</v>
      </c>
      <c r="G43" s="460">
        <f t="shared" si="6"/>
        <v>377000</v>
      </c>
    </row>
    <row r="44" spans="2:7" x14ac:dyDescent="0.2">
      <c r="B44" s="414"/>
      <c r="C44" s="863"/>
      <c r="D44" s="460"/>
      <c r="E44" s="523"/>
      <c r="F44" s="460"/>
      <c r="G44" s="460"/>
    </row>
    <row r="45" spans="2:7" ht="15.75" x14ac:dyDescent="0.25">
      <c r="B45" s="474" t="s">
        <v>756</v>
      </c>
      <c r="C45" s="475" t="s">
        <v>47</v>
      </c>
      <c r="D45" s="476">
        <f>D43+D40+D30+D27+D24+D15+D4</f>
        <v>11230481</v>
      </c>
      <c r="E45" s="476">
        <f t="shared" ref="E45:G45" si="7">E43+E40+E30+E27+E24+E15+E4</f>
        <v>5208410</v>
      </c>
      <c r="F45" s="476">
        <f t="shared" si="7"/>
        <v>10364066.666666668</v>
      </c>
      <c r="G45" s="476">
        <f t="shared" si="7"/>
        <v>9567400</v>
      </c>
    </row>
    <row r="47" spans="2:7" x14ac:dyDescent="0.2">
      <c r="D47" s="812">
        <f>'טבלה מעודכנת '!B33</f>
        <v>8547</v>
      </c>
      <c r="E47" s="812">
        <f>'טבלה מעודכנת '!C33</f>
        <v>5208</v>
      </c>
      <c r="F47" s="812">
        <f>'טבלה מעודכנת '!F33</f>
        <v>8547</v>
      </c>
      <c r="G47" s="812">
        <f>'טבלה מעודכנת '!I33</f>
        <v>0</v>
      </c>
    </row>
    <row r="48" spans="2:7" x14ac:dyDescent="0.2">
      <c r="D48" s="513">
        <f>D45/1000-D47</f>
        <v>2683.4809999999998</v>
      </c>
      <c r="E48" s="513">
        <f t="shared" ref="E48:G48" si="8">E45/1000-E47</f>
        <v>0.40999999999985448</v>
      </c>
      <c r="F48" s="513">
        <f t="shared" si="8"/>
        <v>1817.0666666666675</v>
      </c>
      <c r="G48" s="513">
        <f t="shared" si="8"/>
        <v>9567.4</v>
      </c>
    </row>
  </sheetData>
  <pageMargins left="0.7" right="0.7" top="0.75" bottom="0.75" header="0.3" footer="0.3"/>
  <pageSetup paperSize="9" orientation="portrait" r:id="rId1"/>
  <headerFooter>
    <oddHeader>&amp;C&amp;"David,מודגש"&amp;12&amp;Uמועצה מקומית עוספיהפירוט שכר חינוך</oddHeader>
    <oddFooter>&amp;C&amp;"David,מודגש"&amp;11עמוד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rightToLeft="1" view="pageLayout" topLeftCell="B67" workbookViewId="0">
      <selection activeCell="A21" sqref="A18:K22"/>
    </sheetView>
  </sheetViews>
  <sheetFormatPr defaultColWidth="9.140625" defaultRowHeight="12.75" x14ac:dyDescent="0.2"/>
  <cols>
    <col min="1" max="1" width="0" style="513" hidden="1" customWidth="1"/>
    <col min="2" max="2" width="11.7109375" style="815" bestFit="1" customWidth="1"/>
    <col min="3" max="3" width="33.28515625" style="816" bestFit="1" customWidth="1"/>
    <col min="4" max="4" width="12.140625" style="513" bestFit="1" customWidth="1"/>
    <col min="5" max="5" width="12.140625" style="513" hidden="1" customWidth="1"/>
    <col min="6" max="7" width="12.140625" style="513" bestFit="1" customWidth="1"/>
    <col min="8" max="9" width="9.140625" style="513" hidden="1" customWidth="1"/>
    <col min="10" max="10" width="11.140625" style="513" hidden="1" customWidth="1"/>
    <col min="11" max="17" width="9.140625" style="513" hidden="1" customWidth="1"/>
    <col min="18" max="16384" width="9.140625" style="513"/>
  </cols>
  <sheetData>
    <row r="1" spans="1:7" x14ac:dyDescent="0.2">
      <c r="B1" s="851" t="s">
        <v>539</v>
      </c>
      <c r="C1" s="852" t="s">
        <v>540</v>
      </c>
      <c r="D1" s="853" t="s">
        <v>541</v>
      </c>
      <c r="E1" s="853" t="s">
        <v>65</v>
      </c>
      <c r="F1" s="853" t="s">
        <v>542</v>
      </c>
      <c r="G1" s="853" t="s">
        <v>542</v>
      </c>
    </row>
    <row r="2" spans="1:7" x14ac:dyDescent="0.2">
      <c r="B2" s="854" t="s">
        <v>543</v>
      </c>
      <c r="C2" s="791" t="s">
        <v>544</v>
      </c>
      <c r="D2" s="853" t="s">
        <v>545</v>
      </c>
      <c r="E2" s="853" t="s">
        <v>546</v>
      </c>
      <c r="F2" s="853" t="s">
        <v>547</v>
      </c>
      <c r="G2" s="853" t="s">
        <v>548</v>
      </c>
    </row>
    <row r="3" spans="1:7" s="811" customFormat="1" x14ac:dyDescent="0.2">
      <c r="B3" s="518">
        <v>811000.54</v>
      </c>
      <c r="C3" s="519" t="s">
        <v>660</v>
      </c>
      <c r="D3" s="516">
        <v>15000</v>
      </c>
      <c r="E3" s="516">
        <v>4213</v>
      </c>
      <c r="F3" s="516">
        <v>15000</v>
      </c>
      <c r="G3" s="516">
        <v>15000</v>
      </c>
    </row>
    <row r="4" spans="1:7" s="814" customFormat="1" ht="18.75" x14ac:dyDescent="0.3">
      <c r="B4" s="518">
        <v>811100.82</v>
      </c>
      <c r="C4" s="519" t="s">
        <v>661</v>
      </c>
      <c r="D4" s="516">
        <v>205666</v>
      </c>
      <c r="E4" s="516">
        <v>14492</v>
      </c>
      <c r="F4" s="516">
        <v>205666</v>
      </c>
      <c r="G4" s="516">
        <v>205666</v>
      </c>
    </row>
    <row r="5" spans="1:7" s="817" customFormat="1" x14ac:dyDescent="0.2">
      <c r="B5" s="518">
        <v>811200.82</v>
      </c>
      <c r="C5" s="519" t="s">
        <v>1715</v>
      </c>
      <c r="D5" s="516">
        <v>81000</v>
      </c>
      <c r="E5" s="516">
        <v>0</v>
      </c>
      <c r="F5" s="516">
        <v>81000</v>
      </c>
      <c r="G5" s="516">
        <v>0</v>
      </c>
    </row>
    <row r="6" spans="1:7" s="656" customFormat="1" x14ac:dyDescent="0.2">
      <c r="A6" s="817"/>
      <c r="B6" s="518">
        <v>811131.82</v>
      </c>
      <c r="C6" s="519" t="s">
        <v>1698</v>
      </c>
      <c r="D6" s="516">
        <v>6000</v>
      </c>
      <c r="E6" s="516">
        <v>0</v>
      </c>
      <c r="F6" s="516">
        <v>6000</v>
      </c>
      <c r="G6" s="516">
        <v>6000</v>
      </c>
    </row>
    <row r="7" spans="1:7" s="656" customFormat="1" x14ac:dyDescent="0.2">
      <c r="A7" s="817"/>
      <c r="B7" s="518">
        <v>811150.82</v>
      </c>
      <c r="C7" s="519" t="s">
        <v>662</v>
      </c>
      <c r="D7" s="516">
        <v>79296</v>
      </c>
      <c r="E7" s="516">
        <v>39312</v>
      </c>
      <c r="F7" s="516">
        <v>79296</v>
      </c>
      <c r="G7" s="516">
        <v>79296</v>
      </c>
    </row>
    <row r="8" spans="1:7" s="656" customFormat="1" x14ac:dyDescent="0.2">
      <c r="A8" s="817"/>
      <c r="B8" s="414" t="s">
        <v>663</v>
      </c>
      <c r="C8" s="459" t="s">
        <v>664</v>
      </c>
      <c r="D8" s="460">
        <f>SUM(D3:D7)</f>
        <v>386962</v>
      </c>
      <c r="E8" s="460">
        <f t="shared" ref="E8:G8" si="0">SUM(E3:E7)</f>
        <v>58017</v>
      </c>
      <c r="F8" s="460">
        <f t="shared" si="0"/>
        <v>386962</v>
      </c>
      <c r="G8" s="460">
        <f t="shared" si="0"/>
        <v>305962</v>
      </c>
    </row>
    <row r="9" spans="1:7" s="656" customFormat="1" x14ac:dyDescent="0.2">
      <c r="A9" s="817"/>
      <c r="B9" s="518"/>
      <c r="C9" s="519"/>
      <c r="D9" s="516"/>
      <c r="E9" s="552"/>
      <c r="F9" s="516"/>
      <c r="G9" s="516"/>
    </row>
    <row r="10" spans="1:7" s="656" customFormat="1" x14ac:dyDescent="0.2">
      <c r="A10" s="817"/>
      <c r="B10" s="518">
        <v>812200.72</v>
      </c>
      <c r="C10" s="519" t="s">
        <v>666</v>
      </c>
      <c r="D10" s="516">
        <v>30000</v>
      </c>
      <c r="E10" s="516">
        <v>3316</v>
      </c>
      <c r="F10" s="516">
        <v>30000</v>
      </c>
      <c r="G10" s="516">
        <v>30000</v>
      </c>
    </row>
    <row r="11" spans="1:7" s="656" customFormat="1" x14ac:dyDescent="0.2">
      <c r="A11" s="817"/>
      <c r="B11" s="518">
        <v>812200.75</v>
      </c>
      <c r="C11" s="519" t="s">
        <v>667</v>
      </c>
      <c r="D11" s="516">
        <v>10000</v>
      </c>
      <c r="E11" s="516">
        <v>0</v>
      </c>
      <c r="F11" s="516">
        <v>10000</v>
      </c>
      <c r="G11" s="516">
        <v>10000</v>
      </c>
    </row>
    <row r="12" spans="1:7" s="656" customFormat="1" x14ac:dyDescent="0.2">
      <c r="A12" s="817"/>
      <c r="B12" s="518">
        <v>812300.41</v>
      </c>
      <c r="C12" s="519" t="s">
        <v>671</v>
      </c>
      <c r="D12" s="516">
        <v>504000</v>
      </c>
      <c r="E12" s="516">
        <v>204855</v>
      </c>
      <c r="F12" s="516">
        <v>492000</v>
      </c>
      <c r="G12" s="516">
        <v>252000</v>
      </c>
    </row>
    <row r="13" spans="1:7" s="656" customFormat="1" x14ac:dyDescent="0.2">
      <c r="A13" s="817"/>
      <c r="B13" s="518">
        <v>812300.42</v>
      </c>
      <c r="C13" s="519" t="s">
        <v>672</v>
      </c>
      <c r="D13" s="516">
        <v>5000</v>
      </c>
      <c r="E13" s="516">
        <v>1807</v>
      </c>
      <c r="F13" s="516">
        <v>5000</v>
      </c>
      <c r="G13" s="516">
        <v>5000</v>
      </c>
    </row>
    <row r="14" spans="1:7" s="656" customFormat="1" x14ac:dyDescent="0.2">
      <c r="A14" s="817"/>
      <c r="B14" s="518">
        <v>812300.43099999998</v>
      </c>
      <c r="C14" s="519" t="s">
        <v>673</v>
      </c>
      <c r="D14" s="516">
        <v>70000</v>
      </c>
      <c r="E14" s="516">
        <v>24734</v>
      </c>
      <c r="F14" s="516">
        <v>66700</v>
      </c>
      <c r="G14" s="516">
        <v>66700</v>
      </c>
    </row>
    <row r="15" spans="1:7" s="656" customFormat="1" x14ac:dyDescent="0.2">
      <c r="A15" s="817"/>
      <c r="B15" s="518">
        <v>812300.43200000003</v>
      </c>
      <c r="C15" s="519" t="s">
        <v>674</v>
      </c>
      <c r="D15" s="516">
        <v>40000</v>
      </c>
      <c r="E15" s="516">
        <v>17575</v>
      </c>
      <c r="F15" s="516">
        <v>40000</v>
      </c>
      <c r="G15" s="516">
        <v>38000</v>
      </c>
    </row>
    <row r="16" spans="1:7" s="656" customFormat="1" x14ac:dyDescent="0.2">
      <c r="A16" s="817"/>
      <c r="B16" s="518">
        <v>812300.54</v>
      </c>
      <c r="C16" s="519" t="s">
        <v>1699</v>
      </c>
      <c r="D16" s="516">
        <v>30700</v>
      </c>
      <c r="E16" s="516">
        <v>15731</v>
      </c>
      <c r="F16" s="516">
        <v>31462</v>
      </c>
      <c r="G16" s="516">
        <v>31462</v>
      </c>
    </row>
    <row r="17" spans="1:7" s="656" customFormat="1" x14ac:dyDescent="0.2">
      <c r="A17" s="817"/>
      <c r="B17" s="518">
        <v>812300.82</v>
      </c>
      <c r="C17" s="519" t="s">
        <v>675</v>
      </c>
      <c r="D17" s="516">
        <v>104000</v>
      </c>
      <c r="E17" s="516">
        <v>71000</v>
      </c>
      <c r="F17" s="516">
        <v>83001</v>
      </c>
      <c r="G17" s="516">
        <v>80000</v>
      </c>
    </row>
    <row r="18" spans="1:7" s="656" customFormat="1" x14ac:dyDescent="0.2">
      <c r="A18" s="817"/>
      <c r="B18" s="518">
        <v>812310.44299999997</v>
      </c>
      <c r="C18" s="519" t="s">
        <v>676</v>
      </c>
      <c r="D18" s="516">
        <v>2895300</v>
      </c>
      <c r="E18" s="516">
        <v>1822106</v>
      </c>
      <c r="F18" s="516">
        <v>2853480</v>
      </c>
      <c r="G18" s="516">
        <v>2769840</v>
      </c>
    </row>
    <row r="19" spans="1:7" s="656" customFormat="1" x14ac:dyDescent="0.2">
      <c r="A19" s="817"/>
      <c r="B19" s="518">
        <v>812502.78</v>
      </c>
      <c r="C19" s="519" t="s">
        <v>678</v>
      </c>
      <c r="D19" s="516">
        <v>140000</v>
      </c>
      <c r="E19" s="516">
        <v>0</v>
      </c>
      <c r="F19" s="516">
        <v>141880</v>
      </c>
      <c r="G19" s="516">
        <v>141880</v>
      </c>
    </row>
    <row r="20" spans="1:7" s="656" customFormat="1" x14ac:dyDescent="0.2">
      <c r="A20" s="817"/>
      <c r="B20" s="518">
        <v>812509.78</v>
      </c>
      <c r="C20" s="519" t="s">
        <v>679</v>
      </c>
      <c r="D20" s="516">
        <v>30000</v>
      </c>
      <c r="E20" s="516">
        <v>16000</v>
      </c>
      <c r="F20" s="516">
        <v>30000</v>
      </c>
      <c r="G20" s="516">
        <v>30000</v>
      </c>
    </row>
    <row r="21" spans="1:7" s="656" customFormat="1" x14ac:dyDescent="0.2">
      <c r="A21" s="817"/>
      <c r="B21" s="518">
        <v>812510.82</v>
      </c>
      <c r="C21" s="519" t="s">
        <v>1700</v>
      </c>
      <c r="D21" s="516">
        <v>102236</v>
      </c>
      <c r="E21" s="516">
        <v>102236</v>
      </c>
      <c r="F21" s="516">
        <v>102236</v>
      </c>
      <c r="G21" s="516">
        <v>102236</v>
      </c>
    </row>
    <row r="22" spans="1:7" x14ac:dyDescent="0.2">
      <c r="A22" s="817"/>
      <c r="B22" s="518">
        <v>812513.78</v>
      </c>
      <c r="C22" s="519"/>
      <c r="D22" s="516">
        <v>200000</v>
      </c>
      <c r="E22" s="516">
        <v>0</v>
      </c>
      <c r="F22" s="516">
        <v>200000</v>
      </c>
      <c r="G22" s="516">
        <v>200000</v>
      </c>
    </row>
    <row r="23" spans="1:7" x14ac:dyDescent="0.2">
      <c r="A23" s="817"/>
      <c r="B23" s="518"/>
      <c r="C23" s="519"/>
      <c r="D23" s="516"/>
      <c r="E23" s="516"/>
      <c r="F23" s="516"/>
      <c r="G23" s="516"/>
    </row>
    <row r="24" spans="1:7" x14ac:dyDescent="0.2">
      <c r="A24" s="817"/>
      <c r="B24" s="518">
        <v>812515.54</v>
      </c>
      <c r="C24" s="519" t="s">
        <v>683</v>
      </c>
      <c r="D24" s="516">
        <v>53400</v>
      </c>
      <c r="E24" s="516">
        <v>0</v>
      </c>
      <c r="F24" s="516">
        <v>53400</v>
      </c>
      <c r="G24" s="516">
        <v>53400</v>
      </c>
    </row>
    <row r="25" spans="1:7" x14ac:dyDescent="0.2">
      <c r="A25" s="817"/>
      <c r="B25" s="518"/>
      <c r="C25" s="519"/>
      <c r="D25" s="516"/>
      <c r="E25" s="516"/>
      <c r="F25" s="516"/>
      <c r="G25" s="516"/>
    </row>
    <row r="26" spans="1:7" x14ac:dyDescent="0.2">
      <c r="A26" s="817"/>
      <c r="B26" s="414" t="s">
        <v>685</v>
      </c>
      <c r="C26" s="459" t="s">
        <v>686</v>
      </c>
      <c r="D26" s="460">
        <f>SUM(D10:D25)</f>
        <v>4214636</v>
      </c>
      <c r="E26" s="460">
        <f t="shared" ref="E26:G26" si="1">SUM(E10:E25)</f>
        <v>2279360</v>
      </c>
      <c r="F26" s="460">
        <f t="shared" si="1"/>
        <v>4139159</v>
      </c>
      <c r="G26" s="460">
        <f t="shared" si="1"/>
        <v>3810518</v>
      </c>
    </row>
    <row r="27" spans="1:7" x14ac:dyDescent="0.2">
      <c r="A27" s="817"/>
      <c r="B27" s="518"/>
      <c r="C27" s="855"/>
      <c r="D27" s="516"/>
      <c r="E27" s="552"/>
      <c r="F27" s="516"/>
      <c r="G27" s="516"/>
    </row>
    <row r="28" spans="1:7" x14ac:dyDescent="0.2">
      <c r="A28" s="817"/>
      <c r="B28" s="518"/>
      <c r="C28" s="519"/>
      <c r="D28" s="516"/>
      <c r="E28" s="516"/>
      <c r="F28" s="516"/>
      <c r="G28" s="516"/>
    </row>
    <row r="29" spans="1:7" x14ac:dyDescent="0.2">
      <c r="A29" s="817"/>
      <c r="B29" s="518">
        <v>813200.43</v>
      </c>
      <c r="C29" s="519" t="s">
        <v>688</v>
      </c>
      <c r="D29" s="516">
        <v>5000</v>
      </c>
      <c r="E29" s="516">
        <v>2246</v>
      </c>
      <c r="F29" s="516">
        <v>5000</v>
      </c>
      <c r="G29" s="516">
        <v>5000</v>
      </c>
    </row>
    <row r="30" spans="1:7" x14ac:dyDescent="0.2">
      <c r="A30" s="817"/>
      <c r="B30" s="518">
        <v>813200.47</v>
      </c>
      <c r="C30" s="519" t="s">
        <v>689</v>
      </c>
      <c r="D30" s="516">
        <v>21647</v>
      </c>
      <c r="E30" s="516">
        <v>7862</v>
      </c>
      <c r="F30" s="516">
        <v>19000</v>
      </c>
      <c r="G30" s="516">
        <v>19000</v>
      </c>
    </row>
    <row r="31" spans="1:7" x14ac:dyDescent="0.2">
      <c r="A31" s="817"/>
      <c r="B31" s="518">
        <v>813200.54</v>
      </c>
      <c r="C31" s="519" t="s">
        <v>690</v>
      </c>
      <c r="D31" s="516">
        <v>20000</v>
      </c>
      <c r="E31" s="516">
        <v>5353</v>
      </c>
      <c r="F31" s="516">
        <v>0</v>
      </c>
      <c r="G31" s="516">
        <v>0</v>
      </c>
    </row>
    <row r="32" spans="1:7" x14ac:dyDescent="0.2">
      <c r="A32" s="817"/>
      <c r="B32" s="518">
        <v>813200.75</v>
      </c>
      <c r="C32" s="519" t="s">
        <v>691</v>
      </c>
      <c r="D32" s="516">
        <v>75000</v>
      </c>
      <c r="E32" s="516">
        <v>0</v>
      </c>
      <c r="F32" s="516">
        <v>100000</v>
      </c>
      <c r="G32" s="516">
        <v>100000</v>
      </c>
    </row>
    <row r="33" spans="1:7" x14ac:dyDescent="0.2">
      <c r="A33" s="817"/>
      <c r="B33" s="518">
        <v>813200.78</v>
      </c>
      <c r="C33" s="519" t="s">
        <v>692</v>
      </c>
      <c r="D33" s="516">
        <v>50500</v>
      </c>
      <c r="E33" s="516">
        <v>24752</v>
      </c>
      <c r="F33" s="516">
        <v>50500</v>
      </c>
      <c r="G33" s="516">
        <v>50500</v>
      </c>
    </row>
    <row r="34" spans="1:7" x14ac:dyDescent="0.2">
      <c r="A34" s="817"/>
      <c r="B34" s="518">
        <v>813200.91</v>
      </c>
      <c r="C34" s="519" t="s">
        <v>693</v>
      </c>
      <c r="D34" s="516">
        <v>55000</v>
      </c>
      <c r="E34" s="516">
        <v>0</v>
      </c>
      <c r="F34" s="516">
        <v>0</v>
      </c>
      <c r="G34" s="516">
        <v>0</v>
      </c>
    </row>
    <row r="35" spans="1:7" x14ac:dyDescent="0.2">
      <c r="A35" s="817"/>
      <c r="B35" s="518"/>
      <c r="C35" s="519"/>
      <c r="D35" s="516"/>
      <c r="E35" s="516"/>
      <c r="F35" s="516"/>
      <c r="G35" s="516"/>
    </row>
    <row r="36" spans="1:7" x14ac:dyDescent="0.2">
      <c r="A36" s="817"/>
      <c r="B36" s="518"/>
      <c r="C36" s="519"/>
      <c r="D36" s="516"/>
      <c r="E36" s="516"/>
      <c r="F36" s="516"/>
      <c r="G36" s="516"/>
    </row>
    <row r="37" spans="1:7" x14ac:dyDescent="0.2">
      <c r="A37" s="817"/>
      <c r="B37" s="518"/>
      <c r="C37" s="519"/>
      <c r="D37" s="516"/>
      <c r="E37" s="516"/>
      <c r="F37" s="516"/>
      <c r="G37" s="516"/>
    </row>
    <row r="38" spans="1:7" x14ac:dyDescent="0.2">
      <c r="A38" s="817"/>
      <c r="B38" s="518">
        <v>813210.78</v>
      </c>
      <c r="C38" s="519" t="s">
        <v>697</v>
      </c>
      <c r="D38" s="516">
        <v>242196</v>
      </c>
      <c r="E38" s="516">
        <v>121099</v>
      </c>
      <c r="F38" s="516">
        <v>242220</v>
      </c>
      <c r="G38" s="516">
        <v>242220</v>
      </c>
    </row>
    <row r="39" spans="1:7" s="813" customFormat="1" ht="15.75" x14ac:dyDescent="0.25">
      <c r="A39" s="817"/>
      <c r="B39" s="518">
        <v>813220.78</v>
      </c>
      <c r="C39" s="519" t="s">
        <v>698</v>
      </c>
      <c r="D39" s="516">
        <v>244848</v>
      </c>
      <c r="E39" s="516">
        <v>122426</v>
      </c>
      <c r="F39" s="516">
        <v>244860</v>
      </c>
      <c r="G39" s="516">
        <v>244860</v>
      </c>
    </row>
    <row r="40" spans="1:7" x14ac:dyDescent="0.2">
      <c r="B40" s="518">
        <v>813221.78</v>
      </c>
      <c r="C40" s="519" t="s">
        <v>699</v>
      </c>
      <c r="D40" s="516">
        <v>160003.44</v>
      </c>
      <c r="E40" s="516">
        <v>80001</v>
      </c>
      <c r="F40" s="516">
        <v>160003</v>
      </c>
      <c r="G40" s="516">
        <v>160003</v>
      </c>
    </row>
    <row r="41" spans="1:7" x14ac:dyDescent="0.2">
      <c r="B41" s="518">
        <v>813222.78</v>
      </c>
      <c r="C41" s="519" t="s">
        <v>700</v>
      </c>
      <c r="D41" s="516">
        <v>243504</v>
      </c>
      <c r="E41" s="516">
        <v>121752</v>
      </c>
      <c r="F41" s="516">
        <v>243504</v>
      </c>
      <c r="G41" s="516">
        <v>243504</v>
      </c>
    </row>
    <row r="42" spans="1:7" x14ac:dyDescent="0.2">
      <c r="B42" s="518">
        <v>813230.82</v>
      </c>
      <c r="C42" s="519" t="s">
        <v>701</v>
      </c>
      <c r="D42" s="516">
        <v>280000</v>
      </c>
      <c r="E42" s="516">
        <v>215657</v>
      </c>
      <c r="F42" s="516">
        <v>280000</v>
      </c>
      <c r="G42" s="516">
        <v>280000</v>
      </c>
    </row>
    <row r="43" spans="1:7" x14ac:dyDescent="0.2">
      <c r="B43" s="518"/>
      <c r="C43" s="519"/>
      <c r="D43" s="516"/>
      <c r="E43" s="516"/>
      <c r="F43" s="516"/>
      <c r="G43" s="516"/>
    </row>
    <row r="44" spans="1:7" x14ac:dyDescent="0.2">
      <c r="B44" s="518"/>
      <c r="C44" s="519"/>
      <c r="D44" s="516"/>
      <c r="E44" s="516"/>
      <c r="F44" s="516"/>
      <c r="G44" s="516"/>
    </row>
    <row r="45" spans="1:7" x14ac:dyDescent="0.2">
      <c r="B45" s="518"/>
      <c r="C45" s="519"/>
      <c r="D45" s="516"/>
      <c r="E45" s="516"/>
      <c r="F45" s="516"/>
      <c r="G45" s="516"/>
    </row>
    <row r="46" spans="1:7" x14ac:dyDescent="0.2">
      <c r="B46" s="414" t="s">
        <v>705</v>
      </c>
      <c r="C46" s="459" t="s">
        <v>706</v>
      </c>
      <c r="D46" s="460">
        <f>SUM(D28:D45)</f>
        <v>1397698.44</v>
      </c>
      <c r="E46" s="460">
        <f t="shared" ref="E46:G46" si="2">SUM(E28:E45)</f>
        <v>701148</v>
      </c>
      <c r="F46" s="460">
        <f t="shared" si="2"/>
        <v>1345087</v>
      </c>
      <c r="G46" s="460">
        <f t="shared" si="2"/>
        <v>1345087</v>
      </c>
    </row>
    <row r="47" spans="1:7" x14ac:dyDescent="0.2">
      <c r="B47" s="414"/>
      <c r="C47" s="459"/>
      <c r="D47" s="516"/>
      <c r="E47" s="552"/>
      <c r="F47" s="516"/>
      <c r="G47" s="516"/>
    </row>
    <row r="48" spans="1:7" x14ac:dyDescent="0.2">
      <c r="B48" s="518"/>
      <c r="C48" s="519"/>
      <c r="D48" s="516"/>
      <c r="E48" s="516"/>
      <c r="F48" s="516"/>
      <c r="G48" s="516"/>
    </row>
    <row r="49" spans="2:7" x14ac:dyDescent="0.2">
      <c r="B49" s="518">
        <v>814000.41</v>
      </c>
      <c r="C49" s="519" t="s">
        <v>708</v>
      </c>
      <c r="D49" s="516">
        <v>135000</v>
      </c>
      <c r="E49" s="516">
        <v>67248</v>
      </c>
      <c r="F49" s="516">
        <v>33750</v>
      </c>
      <c r="G49" s="516">
        <v>0</v>
      </c>
    </row>
    <row r="50" spans="2:7" x14ac:dyDescent="0.2">
      <c r="B50" s="518">
        <v>814000.43099999998</v>
      </c>
      <c r="C50" s="519" t="s">
        <v>709</v>
      </c>
      <c r="D50" s="516">
        <v>99500</v>
      </c>
      <c r="E50" s="516">
        <v>13473</v>
      </c>
      <c r="F50" s="516">
        <v>66665</v>
      </c>
      <c r="G50" s="516">
        <v>60000</v>
      </c>
    </row>
    <row r="51" spans="2:7" x14ac:dyDescent="0.2">
      <c r="B51" s="518">
        <v>814000.43200000003</v>
      </c>
      <c r="C51" s="519" t="s">
        <v>710</v>
      </c>
      <c r="D51" s="516">
        <v>51000</v>
      </c>
      <c r="E51" s="516">
        <v>20592</v>
      </c>
      <c r="F51" s="516">
        <v>34170</v>
      </c>
      <c r="G51" s="516">
        <v>35000</v>
      </c>
    </row>
    <row r="52" spans="2:7" x14ac:dyDescent="0.2">
      <c r="B52" s="518">
        <v>814000.54</v>
      </c>
      <c r="C52" s="519" t="s">
        <v>711</v>
      </c>
      <c r="D52" s="516">
        <v>2000</v>
      </c>
      <c r="E52" s="516">
        <v>1473</v>
      </c>
      <c r="F52" s="516">
        <v>2000</v>
      </c>
      <c r="G52" s="516">
        <v>2000</v>
      </c>
    </row>
    <row r="53" spans="2:7" x14ac:dyDescent="0.2">
      <c r="B53" s="518">
        <v>814000.82</v>
      </c>
      <c r="C53" s="519" t="s">
        <v>712</v>
      </c>
      <c r="D53" s="516">
        <v>115000</v>
      </c>
      <c r="E53" s="516">
        <v>70000</v>
      </c>
      <c r="F53" s="516">
        <v>115000</v>
      </c>
      <c r="G53" s="516">
        <v>115000</v>
      </c>
    </row>
    <row r="54" spans="2:7" x14ac:dyDescent="0.2">
      <c r="B54" s="518">
        <v>814100.82</v>
      </c>
      <c r="C54" s="519" t="s">
        <v>713</v>
      </c>
      <c r="D54" s="516">
        <v>20000</v>
      </c>
      <c r="E54" s="516">
        <v>10000</v>
      </c>
      <c r="F54" s="516">
        <v>20000</v>
      </c>
      <c r="G54" s="516">
        <v>0</v>
      </c>
    </row>
    <row r="55" spans="2:7" x14ac:dyDescent="0.2">
      <c r="B55" s="414" t="s">
        <v>714</v>
      </c>
      <c r="C55" s="863" t="s">
        <v>715</v>
      </c>
      <c r="D55" s="460">
        <f>SUM(D49:D54)</f>
        <v>422500</v>
      </c>
      <c r="E55" s="460">
        <f t="shared" ref="E55:G55" si="3">SUM(E49:E54)</f>
        <v>182786</v>
      </c>
      <c r="F55" s="460">
        <f t="shared" si="3"/>
        <v>271585</v>
      </c>
      <c r="G55" s="460">
        <f t="shared" si="3"/>
        <v>212000</v>
      </c>
    </row>
    <row r="56" spans="2:7" x14ac:dyDescent="0.2">
      <c r="B56" s="414"/>
      <c r="C56" s="863"/>
      <c r="D56" s="460"/>
      <c r="E56" s="523"/>
      <c r="F56" s="460"/>
      <c r="G56" s="460"/>
    </row>
    <row r="57" spans="2:7" x14ac:dyDescent="0.2">
      <c r="B57" s="414"/>
      <c r="C57" s="863"/>
      <c r="D57" s="460"/>
      <c r="E57" s="523"/>
      <c r="F57" s="460"/>
      <c r="G57" s="460"/>
    </row>
    <row r="58" spans="2:7" x14ac:dyDescent="0.2">
      <c r="B58" s="518"/>
      <c r="C58" s="519"/>
      <c r="D58" s="516"/>
      <c r="E58" s="516"/>
      <c r="F58" s="516"/>
      <c r="G58" s="516"/>
    </row>
    <row r="59" spans="2:7" x14ac:dyDescent="0.2">
      <c r="B59" s="518">
        <v>817100.75</v>
      </c>
      <c r="C59" s="519" t="s">
        <v>720</v>
      </c>
      <c r="D59" s="516">
        <v>660000</v>
      </c>
      <c r="E59" s="516">
        <v>362148</v>
      </c>
      <c r="F59" s="516">
        <v>844185.3263999999</v>
      </c>
      <c r="G59" s="516">
        <v>844185.3263999999</v>
      </c>
    </row>
    <row r="60" spans="2:7" x14ac:dyDescent="0.2">
      <c r="B60" s="518"/>
      <c r="C60" s="519"/>
      <c r="D60" s="516"/>
      <c r="E60" s="516"/>
      <c r="F60" s="516"/>
      <c r="G60" s="516"/>
    </row>
    <row r="61" spans="2:7" x14ac:dyDescent="0.2">
      <c r="B61" s="518"/>
      <c r="C61" s="519"/>
      <c r="D61" s="516"/>
      <c r="E61" s="516"/>
      <c r="F61" s="516"/>
      <c r="G61" s="516"/>
    </row>
    <row r="62" spans="2:7" x14ac:dyDescent="0.2">
      <c r="B62" s="518">
        <v>817230.81</v>
      </c>
      <c r="C62" s="519" t="s">
        <v>723</v>
      </c>
      <c r="D62" s="516">
        <v>38900</v>
      </c>
      <c r="E62" s="516">
        <v>0</v>
      </c>
      <c r="F62" s="516">
        <v>58000</v>
      </c>
      <c r="G62" s="516">
        <v>58000</v>
      </c>
    </row>
    <row r="63" spans="2:7" x14ac:dyDescent="0.2">
      <c r="B63" s="518"/>
      <c r="C63" s="519"/>
      <c r="D63" s="516"/>
      <c r="E63" s="516"/>
      <c r="F63" s="516"/>
      <c r="G63" s="516"/>
    </row>
    <row r="64" spans="2:7" x14ac:dyDescent="0.2">
      <c r="B64" s="518">
        <v>817300.41</v>
      </c>
      <c r="C64" s="519" t="s">
        <v>725</v>
      </c>
      <c r="D64" s="516">
        <v>36000</v>
      </c>
      <c r="E64" s="516">
        <v>18000</v>
      </c>
      <c r="F64" s="516">
        <v>36000</v>
      </c>
      <c r="G64" s="516">
        <v>36000</v>
      </c>
    </row>
    <row r="65" spans="2:7" x14ac:dyDescent="0.2">
      <c r="B65" s="518">
        <v>817300.43099999998</v>
      </c>
      <c r="C65" s="519" t="s">
        <v>726</v>
      </c>
      <c r="D65" s="516">
        <v>3200</v>
      </c>
      <c r="E65" s="516">
        <v>844</v>
      </c>
      <c r="F65" s="516">
        <v>3200</v>
      </c>
      <c r="G65" s="516">
        <v>3200</v>
      </c>
    </row>
    <row r="66" spans="2:7" x14ac:dyDescent="0.2">
      <c r="B66" s="518">
        <v>817300.43200000003</v>
      </c>
      <c r="C66" s="519" t="s">
        <v>727</v>
      </c>
      <c r="D66" s="516">
        <v>2800</v>
      </c>
      <c r="E66" s="523">
        <v>392</v>
      </c>
      <c r="F66" s="516">
        <v>2800</v>
      </c>
      <c r="G66" s="516">
        <v>2800</v>
      </c>
    </row>
    <row r="67" spans="2:7" x14ac:dyDescent="0.2">
      <c r="B67" s="518">
        <v>817300.47</v>
      </c>
      <c r="C67" s="519" t="s">
        <v>728</v>
      </c>
      <c r="D67" s="516">
        <v>5200</v>
      </c>
      <c r="E67" s="516">
        <v>305</v>
      </c>
      <c r="F67" s="516">
        <v>25000</v>
      </c>
      <c r="G67" s="516">
        <v>25000</v>
      </c>
    </row>
    <row r="68" spans="2:7" x14ac:dyDescent="0.2">
      <c r="B68" s="518">
        <v>817300.54</v>
      </c>
      <c r="C68" s="519" t="s">
        <v>1702</v>
      </c>
      <c r="D68" s="516">
        <v>2500</v>
      </c>
      <c r="E68" s="516">
        <v>3222</v>
      </c>
      <c r="F68" s="516">
        <v>6444</v>
      </c>
      <c r="G68" s="516">
        <v>6444</v>
      </c>
    </row>
    <row r="69" spans="2:7" x14ac:dyDescent="0.2">
      <c r="B69" s="518">
        <v>817300.72</v>
      </c>
      <c r="C69" s="519" t="s">
        <v>729</v>
      </c>
      <c r="D69" s="516">
        <v>0</v>
      </c>
      <c r="E69" s="516">
        <v>0</v>
      </c>
      <c r="F69" s="516">
        <v>16000</v>
      </c>
      <c r="G69" s="516">
        <v>2500</v>
      </c>
    </row>
    <row r="70" spans="2:7" x14ac:dyDescent="0.2">
      <c r="B70" s="518">
        <v>817300.78</v>
      </c>
      <c r="C70" s="519" t="s">
        <v>730</v>
      </c>
      <c r="D70" s="516">
        <v>37032</v>
      </c>
      <c r="E70" s="516">
        <v>18468</v>
      </c>
      <c r="F70" s="516">
        <v>37032</v>
      </c>
      <c r="G70" s="516">
        <v>37032</v>
      </c>
    </row>
    <row r="71" spans="2:7" x14ac:dyDescent="0.2">
      <c r="B71" s="518">
        <v>817500.44</v>
      </c>
      <c r="C71" s="519" t="s">
        <v>731</v>
      </c>
      <c r="D71" s="516">
        <v>122500</v>
      </c>
      <c r="E71" s="516">
        <v>113400</v>
      </c>
      <c r="F71" s="516">
        <v>122500</v>
      </c>
      <c r="G71" s="516">
        <v>122500</v>
      </c>
    </row>
    <row r="72" spans="2:7" x14ac:dyDescent="0.2">
      <c r="B72" s="518"/>
      <c r="C72" s="519"/>
      <c r="D72" s="516"/>
      <c r="E72" s="516"/>
      <c r="F72" s="516"/>
      <c r="G72" s="516"/>
    </row>
    <row r="73" spans="2:7" x14ac:dyDescent="0.2">
      <c r="B73" s="518">
        <v>817600.41</v>
      </c>
      <c r="C73" s="519" t="s">
        <v>733</v>
      </c>
      <c r="D73" s="516">
        <v>36000</v>
      </c>
      <c r="E73" s="516">
        <v>15000</v>
      </c>
      <c r="F73" s="516">
        <v>0</v>
      </c>
      <c r="G73" s="516">
        <v>0</v>
      </c>
    </row>
    <row r="74" spans="2:7" x14ac:dyDescent="0.2">
      <c r="B74" s="518">
        <v>817600.43</v>
      </c>
      <c r="C74" s="519" t="s">
        <v>734</v>
      </c>
      <c r="D74" s="516">
        <v>3000</v>
      </c>
      <c r="E74" s="516">
        <v>0</v>
      </c>
      <c r="F74" s="516">
        <v>3000</v>
      </c>
      <c r="G74" s="516">
        <v>3000</v>
      </c>
    </row>
    <row r="75" spans="2:7" x14ac:dyDescent="0.2">
      <c r="B75" s="518">
        <v>817600.51100000006</v>
      </c>
      <c r="C75" s="519" t="s">
        <v>735</v>
      </c>
      <c r="D75" s="516">
        <v>21600</v>
      </c>
      <c r="E75" s="516">
        <v>10000</v>
      </c>
      <c r="F75" s="516">
        <v>21600</v>
      </c>
      <c r="G75" s="516">
        <v>21600</v>
      </c>
    </row>
    <row r="76" spans="2:7" x14ac:dyDescent="0.2">
      <c r="B76" s="864"/>
      <c r="C76" s="858"/>
      <c r="D76" s="859"/>
      <c r="E76" s="516"/>
      <c r="F76" s="516"/>
      <c r="G76" s="516"/>
    </row>
    <row r="77" spans="2:7" x14ac:dyDescent="0.2">
      <c r="B77" s="518"/>
      <c r="C77" s="519"/>
      <c r="D77" s="516"/>
      <c r="E77" s="516"/>
      <c r="F77" s="516"/>
      <c r="G77" s="516"/>
    </row>
    <row r="78" spans="2:7" x14ac:dyDescent="0.2">
      <c r="B78" s="865">
        <v>817800.7</v>
      </c>
      <c r="C78" s="866" t="s">
        <v>738</v>
      </c>
      <c r="D78" s="524">
        <v>147600</v>
      </c>
      <c r="E78" s="516">
        <v>67600</v>
      </c>
      <c r="F78" s="516">
        <v>147600</v>
      </c>
      <c r="G78" s="516">
        <v>147600</v>
      </c>
    </row>
    <row r="79" spans="2:7" x14ac:dyDescent="0.2">
      <c r="B79" s="518">
        <v>817800.71</v>
      </c>
      <c r="C79" s="519" t="s">
        <v>739</v>
      </c>
      <c r="D79" s="516">
        <v>1476000</v>
      </c>
      <c r="E79" s="516">
        <v>737912</v>
      </c>
      <c r="F79" s="516">
        <v>1476000</v>
      </c>
      <c r="G79" s="516">
        <v>1476000</v>
      </c>
    </row>
    <row r="80" spans="2:7" x14ac:dyDescent="0.2">
      <c r="B80" s="518">
        <v>817800.71100000001</v>
      </c>
      <c r="C80" s="519" t="s">
        <v>740</v>
      </c>
      <c r="D80" s="516">
        <v>1430000</v>
      </c>
      <c r="E80" s="516">
        <v>714781</v>
      </c>
      <c r="F80" s="516">
        <v>1493000</v>
      </c>
      <c r="G80" s="516">
        <v>1493000</v>
      </c>
    </row>
    <row r="81" spans="2:7" x14ac:dyDescent="0.2">
      <c r="B81" s="518">
        <v>817900.43099999998</v>
      </c>
      <c r="C81" s="519" t="s">
        <v>741</v>
      </c>
      <c r="D81" s="516">
        <v>4200</v>
      </c>
      <c r="E81" s="516">
        <v>1298</v>
      </c>
      <c r="F81" s="516">
        <v>2596</v>
      </c>
      <c r="G81" s="516">
        <v>2596</v>
      </c>
    </row>
    <row r="82" spans="2:7" x14ac:dyDescent="0.2">
      <c r="B82" s="518">
        <v>817900.43200000003</v>
      </c>
      <c r="C82" s="519" t="s">
        <v>742</v>
      </c>
      <c r="D82" s="516">
        <v>4000</v>
      </c>
      <c r="E82" s="516">
        <v>1976</v>
      </c>
      <c r="F82" s="516">
        <v>4000</v>
      </c>
      <c r="G82" s="516">
        <v>4000</v>
      </c>
    </row>
    <row r="83" spans="2:7" x14ac:dyDescent="0.2">
      <c r="B83" s="518">
        <v>817900.54</v>
      </c>
      <c r="C83" s="519" t="s">
        <v>743</v>
      </c>
      <c r="D83" s="516">
        <v>1500</v>
      </c>
      <c r="E83" s="516">
        <v>568</v>
      </c>
      <c r="F83" s="516">
        <v>1500</v>
      </c>
      <c r="G83" s="516">
        <v>1500</v>
      </c>
    </row>
    <row r="84" spans="2:7" x14ac:dyDescent="0.2">
      <c r="B84" s="518">
        <v>817900.72</v>
      </c>
      <c r="C84" s="519" t="s">
        <v>744</v>
      </c>
      <c r="D84" s="516">
        <v>14500</v>
      </c>
      <c r="E84" s="516">
        <v>6114</v>
      </c>
      <c r="F84" s="516">
        <v>13500</v>
      </c>
      <c r="G84" s="516">
        <v>13500</v>
      </c>
    </row>
    <row r="85" spans="2:7" x14ac:dyDescent="0.2">
      <c r="B85" s="518">
        <v>817900.81</v>
      </c>
      <c r="C85" s="519" t="s">
        <v>1703</v>
      </c>
      <c r="D85" s="516">
        <v>17000</v>
      </c>
      <c r="E85" s="516">
        <v>0</v>
      </c>
      <c r="F85" s="516">
        <v>17000</v>
      </c>
      <c r="G85" s="516">
        <v>17000</v>
      </c>
    </row>
    <row r="86" spans="2:7" x14ac:dyDescent="0.2">
      <c r="B86" s="518">
        <v>817901.8</v>
      </c>
      <c r="C86" s="519" t="s">
        <v>745</v>
      </c>
      <c r="D86" s="516">
        <v>19500</v>
      </c>
      <c r="E86" s="516">
        <v>18582</v>
      </c>
      <c r="F86" s="516">
        <v>19500</v>
      </c>
      <c r="G86" s="516">
        <v>19500</v>
      </c>
    </row>
    <row r="87" spans="2:7" x14ac:dyDescent="0.2">
      <c r="B87" s="518"/>
      <c r="C87" s="519"/>
      <c r="D87" s="516"/>
      <c r="E87" s="516"/>
      <c r="F87" s="516"/>
      <c r="G87" s="516"/>
    </row>
    <row r="88" spans="2:7" x14ac:dyDescent="0.2">
      <c r="B88" s="518">
        <v>817910.41</v>
      </c>
      <c r="C88" s="519" t="s">
        <v>747</v>
      </c>
      <c r="D88" s="516">
        <v>24000</v>
      </c>
      <c r="E88" s="523">
        <v>12000</v>
      </c>
      <c r="F88" s="516">
        <v>36000</v>
      </c>
      <c r="G88" s="516">
        <v>36000</v>
      </c>
    </row>
    <row r="89" spans="2:7" x14ac:dyDescent="0.2">
      <c r="B89" s="414" t="s">
        <v>748</v>
      </c>
      <c r="C89" s="459" t="s">
        <v>749</v>
      </c>
      <c r="D89" s="460">
        <f>SUM(D59:D88)</f>
        <v>4107032</v>
      </c>
      <c r="E89" s="460">
        <f t="shared" ref="E89:G89" si="4">SUM(E59:E88)</f>
        <v>2102610</v>
      </c>
      <c r="F89" s="460">
        <f t="shared" si="4"/>
        <v>4386457.3263999997</v>
      </c>
      <c r="G89" s="460">
        <f t="shared" si="4"/>
        <v>4372957.3263999997</v>
      </c>
    </row>
    <row r="90" spans="2:7" x14ac:dyDescent="0.2">
      <c r="B90" s="518"/>
      <c r="C90" s="855"/>
      <c r="D90" s="516"/>
      <c r="E90" s="523"/>
      <c r="F90" s="516"/>
      <c r="G90" s="516"/>
    </row>
    <row r="91" spans="2:7" x14ac:dyDescent="0.2">
      <c r="B91" s="518">
        <v>818810.81</v>
      </c>
      <c r="C91" s="519" t="s">
        <v>750</v>
      </c>
      <c r="D91" s="516">
        <v>35600</v>
      </c>
      <c r="E91" s="523">
        <v>0</v>
      </c>
      <c r="F91" s="516">
        <v>35600</v>
      </c>
      <c r="G91" s="516">
        <v>35600</v>
      </c>
    </row>
    <row r="92" spans="2:7" x14ac:dyDescent="0.2">
      <c r="B92" s="518">
        <v>818811.7</v>
      </c>
      <c r="C92" s="519" t="s">
        <v>751</v>
      </c>
      <c r="D92" s="516">
        <v>276200</v>
      </c>
      <c r="E92" s="523">
        <v>0</v>
      </c>
      <c r="F92" s="516">
        <v>276200</v>
      </c>
      <c r="G92" s="516">
        <v>276200</v>
      </c>
    </row>
    <row r="93" spans="2:7" x14ac:dyDescent="0.2">
      <c r="B93" s="518"/>
      <c r="C93" s="519"/>
      <c r="D93" s="516"/>
      <c r="E93" s="516"/>
      <c r="F93" s="516"/>
      <c r="G93" s="516"/>
    </row>
    <row r="94" spans="2:7" x14ac:dyDescent="0.2">
      <c r="B94" s="518">
        <v>819000.82</v>
      </c>
      <c r="C94" s="519" t="s">
        <v>753</v>
      </c>
      <c r="D94" s="516">
        <v>60000</v>
      </c>
      <c r="E94" s="516">
        <v>19999</v>
      </c>
      <c r="F94" s="516">
        <v>60000</v>
      </c>
      <c r="G94" s="516">
        <v>60000</v>
      </c>
    </row>
    <row r="95" spans="2:7" x14ac:dyDescent="0.2">
      <c r="B95" s="414" t="s">
        <v>754</v>
      </c>
      <c r="C95" s="459" t="s">
        <v>755</v>
      </c>
      <c r="D95" s="460">
        <f>SUM(D91:D94)</f>
        <v>371800</v>
      </c>
      <c r="E95" s="460">
        <f t="shared" ref="E95:G95" si="5">SUM(E91:E94)</f>
        <v>19999</v>
      </c>
      <c r="F95" s="460">
        <f t="shared" si="5"/>
        <v>371800</v>
      </c>
      <c r="G95" s="460">
        <f t="shared" si="5"/>
        <v>371800</v>
      </c>
    </row>
    <row r="96" spans="2:7" x14ac:dyDescent="0.2">
      <c r="B96" s="414"/>
      <c r="C96" s="863"/>
      <c r="D96" s="460"/>
      <c r="E96" s="523"/>
      <c r="F96" s="460"/>
      <c r="G96" s="460"/>
    </row>
    <row r="97" spans="2:17" ht="15.75" x14ac:dyDescent="0.25">
      <c r="B97" s="474" t="s">
        <v>756</v>
      </c>
      <c r="C97" s="475" t="s">
        <v>47</v>
      </c>
      <c r="D97" s="476">
        <f>D95+D89+D55+D46+D26+D8</f>
        <v>10900628.439999999</v>
      </c>
      <c r="E97" s="476">
        <f t="shared" ref="E97:G97" si="6">E95+E89+E55+E46+E26+E8</f>
        <v>5343920</v>
      </c>
      <c r="F97" s="476">
        <f t="shared" si="6"/>
        <v>10901050.326400001</v>
      </c>
      <c r="G97" s="476">
        <f t="shared" si="6"/>
        <v>10418324.326400001</v>
      </c>
    </row>
    <row r="99" spans="2:17" x14ac:dyDescent="0.2">
      <c r="D99" s="812">
        <f>'טבלה מעודכנת '!B34</f>
        <v>9907</v>
      </c>
      <c r="E99" s="812">
        <f>'טבלה מעודכנת '!C34</f>
        <v>12179.212</v>
      </c>
      <c r="F99" s="812">
        <f>'טבלה מעודכנת '!F34</f>
        <v>9907</v>
      </c>
      <c r="G99" s="812">
        <f>'טבלה מעודכנת '!I34</f>
        <v>0</v>
      </c>
      <c r="H99" s="812">
        <f>'טבלה מעודכנת '!J34</f>
        <v>0</v>
      </c>
      <c r="I99" s="812">
        <f>'טבלה מעודכנת '!K34</f>
        <v>0</v>
      </c>
      <c r="J99" s="812">
        <f>'טבלה מעודכנת '!L34</f>
        <v>0</v>
      </c>
      <c r="K99" s="812">
        <f>'טבלה מעודכנת '!M34</f>
        <v>8471.3009999999977</v>
      </c>
      <c r="L99" s="812">
        <f>'טבלה מעודכנת '!O34</f>
        <v>12130.801777866671</v>
      </c>
      <c r="M99" s="812">
        <f>'טבלה מעודכנת '!P34</f>
        <v>14399.784720240001</v>
      </c>
      <c r="N99" s="812">
        <f>'טבלה מעודכנת '!Q34</f>
        <v>0</v>
      </c>
      <c r="O99" s="812">
        <f>'טבלה מעודכנת '!R34</f>
        <v>0</v>
      </c>
      <c r="P99" s="812">
        <f>'טבלה מעודכנת '!S34</f>
        <v>0</v>
      </c>
      <c r="Q99" s="812">
        <f>'טבלה מעודכנת '!T34</f>
        <v>0</v>
      </c>
    </row>
    <row r="100" spans="2:17" x14ac:dyDescent="0.2">
      <c r="D100" s="513">
        <f>D97/1000-D99</f>
        <v>993.62843999999859</v>
      </c>
      <c r="E100" s="513">
        <f t="shared" ref="E100:G100" si="7">E97/1000-E99</f>
        <v>-6835.2919999999995</v>
      </c>
      <c r="F100" s="513">
        <f t="shared" si="7"/>
        <v>994.0503263999999</v>
      </c>
      <c r="G100" s="513">
        <f t="shared" si="7"/>
        <v>10418.324326400001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 פירוט פעולות חינוך</oddHeader>
    <oddFooter>&amp;C&amp;"David,מודגש"&amp;11עמוד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rightToLeft="1" view="pageLayout" topLeftCell="B1" workbookViewId="0">
      <selection activeCell="A21" sqref="A18:K22"/>
    </sheetView>
  </sheetViews>
  <sheetFormatPr defaultColWidth="9.140625" defaultRowHeight="12.75" x14ac:dyDescent="0.2"/>
  <cols>
    <col min="1" max="1" width="0" style="493" hidden="1" customWidth="1"/>
    <col min="2" max="2" width="11.7109375" style="815" bestFit="1" customWidth="1"/>
    <col min="3" max="3" width="33.28515625" style="816" bestFit="1" customWidth="1"/>
    <col min="4" max="4" width="12.140625" style="513" bestFit="1" customWidth="1"/>
    <col min="5" max="5" width="12.140625" style="493" hidden="1" customWidth="1"/>
    <col min="6" max="7" width="12.140625" style="513" bestFit="1" customWidth="1"/>
    <col min="8" max="9" width="9.140625" style="493" hidden="1" customWidth="1"/>
    <col min="10" max="10" width="11.140625" style="493" hidden="1" customWidth="1"/>
    <col min="11" max="17" width="9.140625" style="493" hidden="1" customWidth="1"/>
    <col min="18" max="16384" width="9.140625" style="493"/>
  </cols>
  <sheetData>
    <row r="1" spans="2:17" x14ac:dyDescent="0.2">
      <c r="B1" s="851" t="s">
        <v>539</v>
      </c>
      <c r="C1" s="852" t="s">
        <v>540</v>
      </c>
      <c r="D1" s="853" t="s">
        <v>541</v>
      </c>
      <c r="E1" s="853" t="s">
        <v>65</v>
      </c>
      <c r="F1" s="853" t="s">
        <v>542</v>
      </c>
      <c r="G1" s="853" t="s">
        <v>542</v>
      </c>
    </row>
    <row r="2" spans="2:17" s="509" customFormat="1" x14ac:dyDescent="0.2">
      <c r="B2" s="854" t="s">
        <v>543</v>
      </c>
      <c r="C2" s="791" t="s">
        <v>544</v>
      </c>
      <c r="D2" s="853" t="s">
        <v>545</v>
      </c>
      <c r="E2" s="853" t="s">
        <v>546</v>
      </c>
      <c r="F2" s="853" t="s">
        <v>547</v>
      </c>
      <c r="G2" s="853" t="s">
        <v>548</v>
      </c>
    </row>
    <row r="3" spans="2:17" s="659" customFormat="1" x14ac:dyDescent="0.2">
      <c r="B3" s="518"/>
      <c r="C3" s="855"/>
      <c r="D3" s="516"/>
      <c r="E3" s="525"/>
      <c r="F3" s="516"/>
      <c r="G3" s="516"/>
    </row>
    <row r="4" spans="2:17" x14ac:dyDescent="0.2">
      <c r="B4" s="518">
        <v>841000.11</v>
      </c>
      <c r="C4" s="519" t="s">
        <v>791</v>
      </c>
      <c r="D4" s="516">
        <f>רווחה!J25</f>
        <v>1300418</v>
      </c>
      <c r="E4" s="523">
        <v>727329</v>
      </c>
      <c r="F4" s="516">
        <f>רווחה!L25</f>
        <v>1988533</v>
      </c>
      <c r="G4" s="516">
        <f>רווחה!X25</f>
        <v>1948533</v>
      </c>
    </row>
    <row r="5" spans="2:17" s="654" customFormat="1" x14ac:dyDescent="0.2">
      <c r="B5" s="518">
        <v>841001.11</v>
      </c>
      <c r="C5" s="519" t="s">
        <v>799</v>
      </c>
      <c r="D5" s="516">
        <f>רווחה!J30</f>
        <v>396916</v>
      </c>
      <c r="E5" s="516">
        <v>199887</v>
      </c>
      <c r="F5" s="516">
        <f>רווחה!L30</f>
        <v>390000</v>
      </c>
      <c r="G5" s="516">
        <f>רווחה!X30</f>
        <v>292000</v>
      </c>
    </row>
    <row r="6" spans="2:17" s="654" customFormat="1" x14ac:dyDescent="0.2">
      <c r="B6" s="518">
        <v>841300.11</v>
      </c>
      <c r="C6" s="519" t="s">
        <v>800</v>
      </c>
      <c r="D6" s="516">
        <f>רווחה!J34</f>
        <v>130760</v>
      </c>
      <c r="E6" s="516">
        <v>78679</v>
      </c>
      <c r="F6" s="516">
        <f>רווחה!L34</f>
        <v>87285</v>
      </c>
      <c r="G6" s="516">
        <f>רווחה!X34</f>
        <v>137285</v>
      </c>
    </row>
    <row r="7" spans="2:17" x14ac:dyDescent="0.2">
      <c r="B7" s="414" t="s">
        <v>801</v>
      </c>
      <c r="C7" s="459" t="s">
        <v>802</v>
      </c>
      <c r="D7" s="460">
        <f>SUM(D4:D6)</f>
        <v>1828094</v>
      </c>
      <c r="E7" s="460">
        <f t="shared" ref="E7:G7" si="0">SUM(E4:E6)</f>
        <v>1005895</v>
      </c>
      <c r="F7" s="460">
        <f t="shared" si="0"/>
        <v>2465818</v>
      </c>
      <c r="G7" s="460">
        <f t="shared" si="0"/>
        <v>2377818</v>
      </c>
    </row>
    <row r="8" spans="2:17" x14ac:dyDescent="0.2">
      <c r="B8" s="518"/>
      <c r="C8" s="519"/>
      <c r="D8" s="516"/>
      <c r="E8" s="523"/>
      <c r="F8" s="516"/>
      <c r="G8" s="516"/>
    </row>
    <row r="9" spans="2:17" x14ac:dyDescent="0.2">
      <c r="B9" s="518"/>
      <c r="C9" s="519"/>
      <c r="D9" s="516"/>
      <c r="E9" s="523"/>
      <c r="F9" s="516"/>
      <c r="G9" s="516"/>
    </row>
    <row r="10" spans="2:17" x14ac:dyDescent="0.2">
      <c r="B10" s="518"/>
      <c r="C10" s="855"/>
      <c r="D10" s="516"/>
      <c r="E10" s="523"/>
      <c r="F10" s="516"/>
      <c r="G10" s="516"/>
    </row>
    <row r="11" spans="2:17" x14ac:dyDescent="0.2">
      <c r="B11" s="518">
        <v>845200.11</v>
      </c>
      <c r="C11" s="519" t="s">
        <v>839</v>
      </c>
      <c r="D11" s="516">
        <f>רווחה!J41</f>
        <v>407900</v>
      </c>
      <c r="E11" s="516">
        <v>201702</v>
      </c>
      <c r="F11" s="516">
        <f>רווחה!L41</f>
        <v>360000</v>
      </c>
      <c r="G11" s="516">
        <f>רווחה!X41</f>
        <v>100000</v>
      </c>
    </row>
    <row r="12" spans="2:17" x14ac:dyDescent="0.2">
      <c r="B12" s="414"/>
      <c r="C12" s="860"/>
      <c r="D12" s="524"/>
      <c r="E12" s="523"/>
      <c r="F12" s="516"/>
      <c r="G12" s="516"/>
    </row>
    <row r="13" spans="2:17" s="653" customFormat="1" ht="15.75" x14ac:dyDescent="0.25">
      <c r="B13" s="474" t="s">
        <v>874</v>
      </c>
      <c r="C13" s="475" t="s">
        <v>50</v>
      </c>
      <c r="D13" s="476">
        <f>D4+D5+D6+D11</f>
        <v>2235994</v>
      </c>
      <c r="E13" s="476">
        <f t="shared" ref="E13:G13" si="1">E4+E5+E6+E11</f>
        <v>1207597</v>
      </c>
      <c r="F13" s="476">
        <f t="shared" si="1"/>
        <v>2825818</v>
      </c>
      <c r="G13" s="476">
        <f t="shared" si="1"/>
        <v>2477818</v>
      </c>
    </row>
    <row r="14" spans="2:17" x14ac:dyDescent="0.2">
      <c r="B14" s="861"/>
      <c r="C14" s="855"/>
      <c r="D14" s="862"/>
      <c r="E14" s="523"/>
      <c r="F14" s="862"/>
      <c r="G14" s="862"/>
    </row>
    <row r="15" spans="2:17" x14ac:dyDescent="0.2">
      <c r="D15" s="812">
        <f>'טבלה מעודכנת '!B36</f>
        <v>1873</v>
      </c>
      <c r="E15" s="812">
        <f>'טבלה מעודכנת '!C36</f>
        <v>1208</v>
      </c>
      <c r="F15" s="812">
        <f>'טבלה מעודכנת '!F36</f>
        <v>1873</v>
      </c>
      <c r="G15" s="812">
        <f>'טבלה מעודכנת '!I36</f>
        <v>0</v>
      </c>
      <c r="H15" s="812">
        <f>'טבלה מעודכנת '!J36</f>
        <v>0</v>
      </c>
      <c r="I15" s="812">
        <f>'טבלה מעודכנת '!K36</f>
        <v>0</v>
      </c>
      <c r="J15" s="812">
        <f>'טבלה מעודכנת '!L36</f>
        <v>0</v>
      </c>
      <c r="K15" s="812">
        <f>'טבלה מעודכנת '!M36</f>
        <v>1800.8310800000002</v>
      </c>
      <c r="L15" s="812">
        <f>'טבלה מעודכנת '!O36</f>
        <v>2366.2627040666666</v>
      </c>
      <c r="M15" s="812">
        <f>'טבלה מעודכנת '!P36</f>
        <v>2413.5879581479999</v>
      </c>
      <c r="N15" s="812">
        <f>'טבלה מעודכנת '!Q36</f>
        <v>0</v>
      </c>
      <c r="O15" s="812">
        <f>'טבלה מעודכנת '!R36</f>
        <v>0</v>
      </c>
      <c r="P15" s="812">
        <f>'טבלה מעודכנת '!S36</f>
        <v>0</v>
      </c>
      <c r="Q15" s="812">
        <f>'טבלה מעודכנת '!T36</f>
        <v>0</v>
      </c>
    </row>
    <row r="16" spans="2:17" x14ac:dyDescent="0.2">
      <c r="D16" s="513">
        <f>D13/1000-D15</f>
        <v>362.99400000000014</v>
      </c>
      <c r="E16" s="513">
        <f t="shared" ref="E16:G16" si="2">E13/1000-E15</f>
        <v>-0.40300000000002001</v>
      </c>
      <c r="F16" s="513">
        <f t="shared" si="2"/>
        <v>952.81800000000021</v>
      </c>
      <c r="G16" s="513">
        <f t="shared" si="2"/>
        <v>2477.8180000000002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עוספיהפירוט שכר רווחה</oddHeader>
    <oddFooter>&amp;C&amp;"David,מודגש"&amp;11עמוד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8"/>
  <sheetViews>
    <sheetView rightToLeft="1" view="pageLayout" topLeftCell="B67" workbookViewId="0">
      <selection activeCell="A21" sqref="A18:K22"/>
    </sheetView>
  </sheetViews>
  <sheetFormatPr defaultColWidth="9.140625" defaultRowHeight="12.75" x14ac:dyDescent="0.2"/>
  <cols>
    <col min="1" max="1" width="0" style="493" hidden="1" customWidth="1"/>
    <col min="2" max="2" width="11.7109375" style="815" bestFit="1" customWidth="1"/>
    <col min="3" max="3" width="33.28515625" style="816" bestFit="1" customWidth="1"/>
    <col min="4" max="4" width="12.140625" style="513" bestFit="1" customWidth="1"/>
    <col min="5" max="5" width="12.140625" style="493" hidden="1" customWidth="1"/>
    <col min="6" max="7" width="12.140625" style="513" bestFit="1" customWidth="1"/>
    <col min="8" max="9" width="9.140625" style="493" hidden="1" customWidth="1"/>
    <col min="10" max="10" width="11.140625" style="493" hidden="1" customWidth="1"/>
    <col min="11" max="17" width="9.140625" style="493" hidden="1" customWidth="1"/>
    <col min="18" max="16384" width="9.140625" style="493"/>
  </cols>
  <sheetData>
    <row r="1" spans="2:7" x14ac:dyDescent="0.2">
      <c r="B1" s="851" t="s">
        <v>539</v>
      </c>
      <c r="C1" s="852" t="s">
        <v>540</v>
      </c>
      <c r="D1" s="853" t="s">
        <v>541</v>
      </c>
      <c r="E1" s="853" t="s">
        <v>65</v>
      </c>
      <c r="F1" s="853" t="s">
        <v>542</v>
      </c>
      <c r="G1" s="853" t="s">
        <v>542</v>
      </c>
    </row>
    <row r="2" spans="2:7" s="509" customFormat="1" x14ac:dyDescent="0.2">
      <c r="B2" s="854" t="s">
        <v>543</v>
      </c>
      <c r="C2" s="791" t="s">
        <v>544</v>
      </c>
      <c r="D2" s="853" t="s">
        <v>545</v>
      </c>
      <c r="E2" s="853" t="s">
        <v>546</v>
      </c>
      <c r="F2" s="853" t="s">
        <v>547</v>
      </c>
      <c r="G2" s="853" t="s">
        <v>548</v>
      </c>
    </row>
    <row r="3" spans="2:7" s="659" customFormat="1" x14ac:dyDescent="0.2">
      <c r="B3" s="518"/>
      <c r="C3" s="855"/>
      <c r="D3" s="516"/>
      <c r="E3" s="525"/>
      <c r="F3" s="516"/>
      <c r="G3" s="516"/>
    </row>
    <row r="4" spans="2:7" x14ac:dyDescent="0.2">
      <c r="B4" s="518">
        <v>841000.41</v>
      </c>
      <c r="C4" s="519" t="s">
        <v>792</v>
      </c>
      <c r="D4" s="516">
        <v>28000</v>
      </c>
      <c r="E4" s="516">
        <v>14040</v>
      </c>
      <c r="F4" s="516">
        <v>28000</v>
      </c>
      <c r="G4" s="516">
        <v>28000</v>
      </c>
    </row>
    <row r="5" spans="2:7" s="654" customFormat="1" x14ac:dyDescent="0.2">
      <c r="B5" s="518">
        <v>841000.43099999998</v>
      </c>
      <c r="C5" s="519" t="s">
        <v>793</v>
      </c>
      <c r="D5" s="516">
        <v>38000</v>
      </c>
      <c r="E5" s="516">
        <v>16297</v>
      </c>
      <c r="F5" s="516">
        <v>38000</v>
      </c>
      <c r="G5" s="516">
        <v>38000</v>
      </c>
    </row>
    <row r="6" spans="2:7" s="654" customFormat="1" x14ac:dyDescent="0.2">
      <c r="B6" s="518">
        <v>841000.43200000003</v>
      </c>
      <c r="C6" s="519" t="s">
        <v>794</v>
      </c>
      <c r="D6" s="516">
        <v>12000</v>
      </c>
      <c r="E6" s="516">
        <v>6193</v>
      </c>
      <c r="F6" s="516">
        <v>12200</v>
      </c>
      <c r="G6" s="516">
        <v>12200</v>
      </c>
    </row>
    <row r="7" spans="2:7" s="654" customFormat="1" x14ac:dyDescent="0.2">
      <c r="B7" s="518">
        <v>841000.47</v>
      </c>
      <c r="C7" s="519" t="s">
        <v>795</v>
      </c>
      <c r="D7" s="516">
        <v>4800</v>
      </c>
      <c r="E7" s="516">
        <v>1633</v>
      </c>
      <c r="F7" s="516">
        <v>4000</v>
      </c>
      <c r="G7" s="516">
        <v>4000</v>
      </c>
    </row>
    <row r="8" spans="2:7" s="654" customFormat="1" x14ac:dyDescent="0.2">
      <c r="B8" s="518">
        <v>841000.52</v>
      </c>
      <c r="C8" s="519" t="s">
        <v>796</v>
      </c>
      <c r="D8" s="516">
        <v>5220</v>
      </c>
      <c r="E8" s="516">
        <v>0</v>
      </c>
      <c r="F8" s="516">
        <f>435*12</f>
        <v>5220</v>
      </c>
      <c r="G8" s="516">
        <v>5220</v>
      </c>
    </row>
    <row r="9" spans="2:7" s="654" customFormat="1" x14ac:dyDescent="0.2">
      <c r="B9" s="518">
        <v>841000.54</v>
      </c>
      <c r="C9" s="519" t="s">
        <v>797</v>
      </c>
      <c r="D9" s="516">
        <v>15000</v>
      </c>
      <c r="E9" s="516">
        <v>8056</v>
      </c>
      <c r="F9" s="516">
        <v>15000</v>
      </c>
      <c r="G9" s="516">
        <v>15000</v>
      </c>
    </row>
    <row r="10" spans="2:7" s="654" customFormat="1" x14ac:dyDescent="0.2">
      <c r="B10" s="518">
        <v>841000.84</v>
      </c>
      <c r="C10" s="519" t="s">
        <v>798</v>
      </c>
      <c r="D10" s="516">
        <v>16615</v>
      </c>
      <c r="E10" s="516">
        <v>0</v>
      </c>
      <c r="F10" s="516">
        <v>16615</v>
      </c>
      <c r="G10" s="516">
        <v>16615</v>
      </c>
    </row>
    <row r="11" spans="2:7" x14ac:dyDescent="0.2">
      <c r="B11" s="414" t="s">
        <v>801</v>
      </c>
      <c r="C11" s="459" t="s">
        <v>802</v>
      </c>
      <c r="D11" s="460">
        <f>SUM(D4:D10)</f>
        <v>119635</v>
      </c>
      <c r="E11" s="460">
        <f>SUM(E4:E10)</f>
        <v>46219</v>
      </c>
      <c r="F11" s="460">
        <f>SUM(F4:F10)</f>
        <v>119035</v>
      </c>
      <c r="G11" s="460">
        <f>SUM(G4:G10)</f>
        <v>119035</v>
      </c>
    </row>
    <row r="12" spans="2:7" x14ac:dyDescent="0.2">
      <c r="B12" s="518"/>
      <c r="C12" s="519"/>
      <c r="D12" s="516"/>
      <c r="E12" s="523"/>
      <c r="F12" s="516"/>
      <c r="G12" s="516"/>
    </row>
    <row r="13" spans="2:7" x14ac:dyDescent="0.2">
      <c r="B13" s="518"/>
      <c r="C13" s="519"/>
      <c r="D13" s="516"/>
      <c r="E13" s="523"/>
      <c r="F13" s="516"/>
      <c r="G13" s="516"/>
    </row>
    <row r="14" spans="2:7" x14ac:dyDescent="0.2">
      <c r="B14" s="518">
        <v>842200.84</v>
      </c>
      <c r="C14" s="519" t="s">
        <v>803</v>
      </c>
      <c r="D14" s="516">
        <f>40400+9333</f>
        <v>49733</v>
      </c>
      <c r="E14" s="523">
        <v>0</v>
      </c>
      <c r="F14" s="516">
        <v>49733</v>
      </c>
      <c r="G14" s="516">
        <v>49733</v>
      </c>
    </row>
    <row r="15" spans="2:7" x14ac:dyDescent="0.2">
      <c r="B15" s="518">
        <v>842201.84</v>
      </c>
      <c r="C15" s="519" t="s">
        <v>804</v>
      </c>
      <c r="D15" s="516">
        <v>40000</v>
      </c>
      <c r="E15" s="523">
        <v>0</v>
      </c>
      <c r="F15" s="516">
        <v>40000</v>
      </c>
      <c r="G15" s="516">
        <v>40000</v>
      </c>
    </row>
    <row r="16" spans="2:7" x14ac:dyDescent="0.2">
      <c r="B16" s="518">
        <v>842210.84</v>
      </c>
      <c r="C16" s="519" t="s">
        <v>805</v>
      </c>
      <c r="D16" s="516">
        <f>39733+10000</f>
        <v>49733</v>
      </c>
      <c r="E16" s="516">
        <v>23769</v>
      </c>
      <c r="F16" s="516">
        <v>49733</v>
      </c>
      <c r="G16" s="516">
        <v>49733</v>
      </c>
    </row>
    <row r="17" spans="2:7" x14ac:dyDescent="0.2">
      <c r="B17" s="518">
        <v>842400.81</v>
      </c>
      <c r="C17" s="519" t="s">
        <v>806</v>
      </c>
      <c r="D17" s="516">
        <f>262000-רווחה!J9-רווחה!J13</f>
        <v>47506</v>
      </c>
      <c r="E17" s="523">
        <v>0</v>
      </c>
      <c r="F17" s="516">
        <v>72000</v>
      </c>
      <c r="G17" s="516">
        <v>72000</v>
      </c>
    </row>
    <row r="18" spans="2:7" x14ac:dyDescent="0.2">
      <c r="B18" s="414" t="s">
        <v>807</v>
      </c>
      <c r="C18" s="459" t="s">
        <v>808</v>
      </c>
      <c r="D18" s="460">
        <f t="shared" ref="D18:G18" si="0">SUM(D14:D17)</f>
        <v>186972</v>
      </c>
      <c r="E18" s="460">
        <f t="shared" si="0"/>
        <v>23769</v>
      </c>
      <c r="F18" s="460">
        <f t="shared" si="0"/>
        <v>211466</v>
      </c>
      <c r="G18" s="460">
        <f t="shared" si="0"/>
        <v>211466</v>
      </c>
    </row>
    <row r="19" spans="2:7" x14ac:dyDescent="0.2">
      <c r="B19" s="518"/>
      <c r="C19" s="519"/>
      <c r="D19" s="516"/>
      <c r="E19" s="523"/>
      <c r="F19" s="516"/>
      <c r="G19" s="516"/>
    </row>
    <row r="20" spans="2:7" x14ac:dyDescent="0.2">
      <c r="B20" s="518">
        <v>843500.43099999998</v>
      </c>
      <c r="C20" s="519" t="s">
        <v>809</v>
      </c>
      <c r="D20" s="516">
        <v>1500</v>
      </c>
      <c r="E20" s="516">
        <v>693</v>
      </c>
      <c r="F20" s="516">
        <v>1500</v>
      </c>
      <c r="G20" s="516">
        <v>1500</v>
      </c>
    </row>
    <row r="21" spans="2:7" x14ac:dyDescent="0.2">
      <c r="B21" s="518">
        <v>843500.51100000006</v>
      </c>
      <c r="C21" s="519" t="s">
        <v>810</v>
      </c>
      <c r="D21" s="516">
        <f>1000*12</f>
        <v>12000</v>
      </c>
      <c r="E21" s="516">
        <v>0</v>
      </c>
      <c r="F21" s="516">
        <v>12000</v>
      </c>
      <c r="G21" s="516">
        <v>12000</v>
      </c>
    </row>
    <row r="22" spans="2:7" x14ac:dyDescent="0.2">
      <c r="B22" s="518">
        <v>843500.84</v>
      </c>
      <c r="C22" s="519" t="s">
        <v>811</v>
      </c>
      <c r="D22" s="516">
        <v>18667</v>
      </c>
      <c r="E22" s="516">
        <v>13548</v>
      </c>
      <c r="F22" s="516">
        <v>18677</v>
      </c>
      <c r="G22" s="516">
        <v>18677</v>
      </c>
    </row>
    <row r="23" spans="2:7" x14ac:dyDescent="0.2">
      <c r="B23" s="518">
        <v>843502.41</v>
      </c>
      <c r="C23" s="519" t="s">
        <v>812</v>
      </c>
      <c r="D23" s="516">
        <f>2000*12</f>
        <v>24000</v>
      </c>
      <c r="E23" s="516">
        <v>10000</v>
      </c>
      <c r="F23" s="516">
        <v>0</v>
      </c>
      <c r="G23" s="516">
        <v>0</v>
      </c>
    </row>
    <row r="24" spans="2:7" x14ac:dyDescent="0.2">
      <c r="B24" s="518">
        <v>843502.84</v>
      </c>
      <c r="C24" s="519" t="s">
        <v>813</v>
      </c>
      <c r="D24" s="516">
        <f>106533-106533*0.5</f>
        <v>53266.5</v>
      </c>
      <c r="E24" s="516">
        <v>0</v>
      </c>
      <c r="F24" s="516">
        <v>53267</v>
      </c>
      <c r="G24" s="516">
        <v>53267</v>
      </c>
    </row>
    <row r="25" spans="2:7" x14ac:dyDescent="0.2">
      <c r="B25" s="518">
        <v>843510.84</v>
      </c>
      <c r="C25" s="519" t="s">
        <v>814</v>
      </c>
      <c r="D25" s="516">
        <v>1000</v>
      </c>
      <c r="E25" s="516">
        <v>0</v>
      </c>
      <c r="F25" s="516">
        <v>1000</v>
      </c>
      <c r="G25" s="516">
        <v>1000</v>
      </c>
    </row>
    <row r="26" spans="2:7" x14ac:dyDescent="0.2">
      <c r="B26" s="518">
        <v>843531.84</v>
      </c>
      <c r="C26" s="519" t="s">
        <v>815</v>
      </c>
      <c r="D26" s="516">
        <v>68500</v>
      </c>
      <c r="E26" s="516">
        <v>0</v>
      </c>
      <c r="F26" s="516">
        <v>68500</v>
      </c>
      <c r="G26" s="516">
        <v>68500</v>
      </c>
    </row>
    <row r="27" spans="2:7" x14ac:dyDescent="0.2">
      <c r="B27" s="518">
        <v>843540.84</v>
      </c>
      <c r="C27" s="519" t="s">
        <v>816</v>
      </c>
      <c r="D27" s="516">
        <v>210400</v>
      </c>
      <c r="E27" s="516">
        <v>118427</v>
      </c>
      <c r="F27" s="516">
        <v>210400</v>
      </c>
      <c r="G27" s="516">
        <v>210400</v>
      </c>
    </row>
    <row r="28" spans="2:7" x14ac:dyDescent="0.2">
      <c r="B28" s="518">
        <v>843810.84</v>
      </c>
      <c r="C28" s="519" t="s">
        <v>817</v>
      </c>
      <c r="D28" s="516">
        <v>291194</v>
      </c>
      <c r="E28" s="516">
        <v>30751</v>
      </c>
      <c r="F28" s="516">
        <v>291194</v>
      </c>
      <c r="G28" s="516">
        <v>291194</v>
      </c>
    </row>
    <row r="29" spans="2:7" x14ac:dyDescent="0.2">
      <c r="B29" s="518">
        <v>843817.84</v>
      </c>
      <c r="C29" s="519" t="s">
        <v>818</v>
      </c>
      <c r="D29" s="516">
        <v>206557</v>
      </c>
      <c r="E29" s="516">
        <v>14718</v>
      </c>
      <c r="F29" s="516">
        <v>206557</v>
      </c>
      <c r="G29" s="516">
        <v>206557</v>
      </c>
    </row>
    <row r="30" spans="2:7" x14ac:dyDescent="0.2">
      <c r="B30" s="518">
        <v>843910.84</v>
      </c>
      <c r="C30" s="519" t="s">
        <v>819</v>
      </c>
      <c r="D30" s="516">
        <v>646800</v>
      </c>
      <c r="E30" s="516">
        <v>533682</v>
      </c>
      <c r="F30" s="516">
        <v>646800</v>
      </c>
      <c r="G30" s="516">
        <v>646800</v>
      </c>
    </row>
    <row r="31" spans="2:7" x14ac:dyDescent="0.2">
      <c r="B31" s="414" t="s">
        <v>820</v>
      </c>
      <c r="C31" s="459" t="s">
        <v>821</v>
      </c>
      <c r="D31" s="460">
        <f t="shared" ref="D31:G31" si="1">SUM(D20:D30)</f>
        <v>1533884.5</v>
      </c>
      <c r="E31" s="460">
        <f t="shared" si="1"/>
        <v>721819</v>
      </c>
      <c r="F31" s="460">
        <f t="shared" si="1"/>
        <v>1509895</v>
      </c>
      <c r="G31" s="460">
        <f t="shared" si="1"/>
        <v>1509895</v>
      </c>
    </row>
    <row r="32" spans="2:7" x14ac:dyDescent="0.2">
      <c r="B32" s="518"/>
      <c r="C32" s="855"/>
      <c r="D32" s="516"/>
      <c r="E32" s="523"/>
      <c r="F32" s="516"/>
      <c r="G32" s="516"/>
    </row>
    <row r="33" spans="2:8" x14ac:dyDescent="0.2">
      <c r="B33" s="518">
        <v>844000.41</v>
      </c>
      <c r="C33" s="519" t="s">
        <v>822</v>
      </c>
      <c r="D33" s="516">
        <f>2000*12</f>
        <v>24000</v>
      </c>
      <c r="E33" s="516">
        <v>12000</v>
      </c>
      <c r="F33" s="516">
        <v>24000</v>
      </c>
      <c r="G33" s="516">
        <v>24000</v>
      </c>
    </row>
    <row r="34" spans="2:8" x14ac:dyDescent="0.2">
      <c r="B34" s="518">
        <v>844310.84</v>
      </c>
      <c r="C34" s="519" t="s">
        <v>823</v>
      </c>
      <c r="D34" s="516">
        <v>53796</v>
      </c>
      <c r="E34" s="516">
        <v>53809</v>
      </c>
      <c r="F34" s="516">
        <v>53810</v>
      </c>
      <c r="G34" s="516">
        <v>53810</v>
      </c>
    </row>
    <row r="35" spans="2:8" x14ac:dyDescent="0.2">
      <c r="B35" s="518">
        <v>844400.43</v>
      </c>
      <c r="C35" s="519" t="s">
        <v>824</v>
      </c>
      <c r="D35" s="516">
        <v>3000</v>
      </c>
      <c r="E35" s="516">
        <v>0</v>
      </c>
      <c r="F35" s="516">
        <v>3000</v>
      </c>
      <c r="G35" s="516">
        <v>3000</v>
      </c>
    </row>
    <row r="36" spans="2:8" x14ac:dyDescent="0.2">
      <c r="B36" s="518">
        <v>844400.84</v>
      </c>
      <c r="C36" s="519" t="s">
        <v>825</v>
      </c>
      <c r="D36" s="516">
        <f>53333-53333*0.25</f>
        <v>39999.75</v>
      </c>
      <c r="E36" s="516">
        <v>16938</v>
      </c>
      <c r="F36" s="516">
        <v>23000</v>
      </c>
      <c r="G36" s="516">
        <v>23000</v>
      </c>
    </row>
    <row r="37" spans="2:8" x14ac:dyDescent="0.2">
      <c r="B37" s="518">
        <v>844410.84</v>
      </c>
      <c r="C37" s="519" t="s">
        <v>826</v>
      </c>
      <c r="D37" s="516">
        <v>9333</v>
      </c>
      <c r="E37" s="516">
        <v>0</v>
      </c>
      <c r="F37" s="516">
        <v>9333</v>
      </c>
      <c r="G37" s="516">
        <v>9333</v>
      </c>
    </row>
    <row r="38" spans="2:8" x14ac:dyDescent="0.2">
      <c r="B38" s="518">
        <v>844420.84</v>
      </c>
      <c r="C38" s="519" t="s">
        <v>827</v>
      </c>
      <c r="D38" s="516">
        <v>82667</v>
      </c>
      <c r="E38" s="516">
        <v>49660</v>
      </c>
      <c r="F38" s="516">
        <v>82667</v>
      </c>
      <c r="G38" s="516">
        <v>82667</v>
      </c>
    </row>
    <row r="39" spans="2:8" x14ac:dyDescent="0.2">
      <c r="B39" s="518">
        <v>844430.84</v>
      </c>
      <c r="C39" s="519" t="s">
        <v>828</v>
      </c>
      <c r="D39" s="516">
        <f>40000-40000*0.5</f>
        <v>20000</v>
      </c>
      <c r="E39" s="516">
        <v>0</v>
      </c>
      <c r="F39" s="516">
        <v>20000</v>
      </c>
      <c r="G39" s="516">
        <v>20000</v>
      </c>
    </row>
    <row r="40" spans="2:8" x14ac:dyDescent="0.2">
      <c r="B40" s="518">
        <v>844440.84</v>
      </c>
      <c r="C40" s="519" t="s">
        <v>829</v>
      </c>
      <c r="D40" s="516">
        <v>31333</v>
      </c>
      <c r="E40" s="516">
        <v>0</v>
      </c>
      <c r="F40" s="516">
        <v>31333</v>
      </c>
      <c r="G40" s="516">
        <v>31333</v>
      </c>
    </row>
    <row r="41" spans="2:8" x14ac:dyDescent="0.2">
      <c r="B41" s="518">
        <v>844490.84</v>
      </c>
      <c r="C41" s="519" t="s">
        <v>830</v>
      </c>
      <c r="D41" s="516">
        <v>0</v>
      </c>
      <c r="E41" s="516">
        <v>0</v>
      </c>
      <c r="F41" s="516">
        <v>0</v>
      </c>
      <c r="G41" s="516">
        <v>0</v>
      </c>
      <c r="H41" s="493" t="s">
        <v>386</v>
      </c>
    </row>
    <row r="42" spans="2:8" x14ac:dyDescent="0.2">
      <c r="B42" s="518">
        <v>844510.84</v>
      </c>
      <c r="C42" s="519" t="s">
        <v>831</v>
      </c>
      <c r="D42" s="516">
        <v>153200</v>
      </c>
      <c r="E42" s="516">
        <v>141625</v>
      </c>
      <c r="F42" s="516">
        <v>153200</v>
      </c>
      <c r="G42" s="516">
        <v>153200</v>
      </c>
    </row>
    <row r="43" spans="2:8" x14ac:dyDescent="0.2">
      <c r="B43" s="518">
        <v>844512.84</v>
      </c>
      <c r="C43" s="519" t="s">
        <v>832</v>
      </c>
      <c r="D43" s="516">
        <v>183540</v>
      </c>
      <c r="E43" s="516">
        <v>310962</v>
      </c>
      <c r="F43" s="516">
        <v>183540</v>
      </c>
      <c r="G43" s="516">
        <v>183540</v>
      </c>
    </row>
    <row r="44" spans="2:8" x14ac:dyDescent="0.2">
      <c r="B44" s="414" t="s">
        <v>833</v>
      </c>
      <c r="C44" s="459" t="s">
        <v>834</v>
      </c>
      <c r="D44" s="460">
        <f t="shared" ref="D44:G44" si="2">SUM(D33:D43)</f>
        <v>600868.75</v>
      </c>
      <c r="E44" s="460">
        <f t="shared" si="2"/>
        <v>584994</v>
      </c>
      <c r="F44" s="460">
        <f t="shared" si="2"/>
        <v>583883</v>
      </c>
      <c r="G44" s="460">
        <f t="shared" si="2"/>
        <v>583883</v>
      </c>
    </row>
    <row r="45" spans="2:8" x14ac:dyDescent="0.2">
      <c r="B45" s="414"/>
      <c r="C45" s="459"/>
      <c r="D45" s="516"/>
      <c r="E45" s="523"/>
      <c r="F45" s="516"/>
      <c r="G45" s="516"/>
    </row>
    <row r="46" spans="2:8" x14ac:dyDescent="0.2">
      <c r="B46" s="518">
        <v>845101.84</v>
      </c>
      <c r="C46" s="519" t="s">
        <v>835</v>
      </c>
      <c r="D46" s="516">
        <v>960480</v>
      </c>
      <c r="E46" s="516">
        <v>654483</v>
      </c>
      <c r="F46" s="516">
        <v>960480</v>
      </c>
      <c r="G46" s="516">
        <v>960480</v>
      </c>
    </row>
    <row r="47" spans="2:8" x14ac:dyDescent="0.2">
      <c r="B47" s="518">
        <v>845120.84</v>
      </c>
      <c r="C47" s="519" t="s">
        <v>836</v>
      </c>
      <c r="D47" s="516">
        <v>170724</v>
      </c>
      <c r="E47" s="516">
        <v>79800</v>
      </c>
      <c r="F47" s="516">
        <v>170724</v>
      </c>
      <c r="G47" s="516">
        <v>170724</v>
      </c>
    </row>
    <row r="48" spans="2:8" x14ac:dyDescent="0.2">
      <c r="B48" s="518">
        <v>845140.84</v>
      </c>
      <c r="C48" s="519" t="s">
        <v>837</v>
      </c>
      <c r="D48" s="516">
        <v>15333</v>
      </c>
      <c r="E48" s="516">
        <v>38507</v>
      </c>
      <c r="F48" s="516">
        <v>15333</v>
      </c>
      <c r="G48" s="516">
        <v>15333</v>
      </c>
    </row>
    <row r="49" spans="2:7" x14ac:dyDescent="0.2">
      <c r="B49" s="518">
        <v>845141.84</v>
      </c>
      <c r="C49" s="519" t="s">
        <v>838</v>
      </c>
      <c r="D49" s="516">
        <v>2000</v>
      </c>
      <c r="E49" s="516">
        <v>1150</v>
      </c>
      <c r="F49" s="516">
        <v>2000</v>
      </c>
      <c r="G49" s="516">
        <v>2000</v>
      </c>
    </row>
    <row r="50" spans="2:7" x14ac:dyDescent="0.2">
      <c r="B50" s="518">
        <v>845200.41</v>
      </c>
      <c r="C50" s="519" t="s">
        <v>840</v>
      </c>
      <c r="D50" s="516">
        <v>38000</v>
      </c>
      <c r="E50" s="516">
        <v>16200</v>
      </c>
      <c r="F50" s="516">
        <v>38000</v>
      </c>
      <c r="G50" s="516">
        <v>38000</v>
      </c>
    </row>
    <row r="51" spans="2:7" x14ac:dyDescent="0.2">
      <c r="B51" s="518">
        <v>845200.43</v>
      </c>
      <c r="C51" s="519" t="s">
        <v>841</v>
      </c>
      <c r="D51" s="516">
        <v>10000</v>
      </c>
      <c r="E51" s="516">
        <v>0</v>
      </c>
      <c r="F51" s="516">
        <v>0</v>
      </c>
      <c r="G51" s="516">
        <v>0</v>
      </c>
    </row>
    <row r="52" spans="2:7" x14ac:dyDescent="0.2">
      <c r="B52" s="518">
        <v>845200.43099999998</v>
      </c>
      <c r="C52" s="519" t="s">
        <v>842</v>
      </c>
      <c r="D52" s="516">
        <v>25000</v>
      </c>
      <c r="E52" s="516">
        <v>16805</v>
      </c>
      <c r="F52" s="516">
        <v>0</v>
      </c>
      <c r="G52" s="516">
        <v>0</v>
      </c>
    </row>
    <row r="53" spans="2:7" x14ac:dyDescent="0.2">
      <c r="B53" s="518">
        <v>845200.54</v>
      </c>
      <c r="C53" s="519" t="s">
        <v>843</v>
      </c>
      <c r="D53" s="516">
        <v>2100</v>
      </c>
      <c r="E53" s="516">
        <v>1248</v>
      </c>
      <c r="F53" s="516">
        <v>0</v>
      </c>
      <c r="G53" s="516">
        <v>0</v>
      </c>
    </row>
    <row r="54" spans="2:7" x14ac:dyDescent="0.2">
      <c r="B54" s="518">
        <v>845200.78</v>
      </c>
      <c r="C54" s="519" t="s">
        <v>844</v>
      </c>
      <c r="D54" s="516">
        <v>10000</v>
      </c>
      <c r="E54" s="516">
        <v>1763</v>
      </c>
      <c r="F54" s="516">
        <v>0</v>
      </c>
      <c r="G54" s="516">
        <v>0</v>
      </c>
    </row>
    <row r="55" spans="2:7" x14ac:dyDescent="0.2">
      <c r="B55" s="518">
        <v>845200.84</v>
      </c>
      <c r="C55" s="519" t="s">
        <v>845</v>
      </c>
      <c r="D55" s="516">
        <v>309540</v>
      </c>
      <c r="E55" s="516">
        <v>154058</v>
      </c>
      <c r="F55" s="516">
        <v>309540</v>
      </c>
      <c r="G55" s="516">
        <v>309540</v>
      </c>
    </row>
    <row r="56" spans="2:7" x14ac:dyDescent="0.2">
      <c r="B56" s="518">
        <v>845270.84</v>
      </c>
      <c r="C56" s="519" t="s">
        <v>846</v>
      </c>
      <c r="D56" s="516">
        <v>241728</v>
      </c>
      <c r="E56" s="516">
        <v>27183</v>
      </c>
      <c r="F56" s="516">
        <v>241728</v>
      </c>
      <c r="G56" s="516">
        <v>241728</v>
      </c>
    </row>
    <row r="57" spans="2:7" x14ac:dyDescent="0.2">
      <c r="B57" s="518">
        <v>845310.84</v>
      </c>
      <c r="C57" s="519" t="s">
        <v>847</v>
      </c>
      <c r="D57" s="516">
        <v>5440</v>
      </c>
      <c r="E57" s="523">
        <v>2064</v>
      </c>
      <c r="F57" s="516">
        <v>5440</v>
      </c>
      <c r="G57" s="516">
        <v>5440</v>
      </c>
    </row>
    <row r="58" spans="2:7" x14ac:dyDescent="0.2">
      <c r="B58" s="518">
        <v>845312.84</v>
      </c>
      <c r="C58" s="519" t="s">
        <v>848</v>
      </c>
      <c r="D58" s="516">
        <v>79467</v>
      </c>
      <c r="E58" s="523">
        <v>38297</v>
      </c>
      <c r="F58" s="516">
        <v>79467</v>
      </c>
      <c r="G58" s="516">
        <v>79467</v>
      </c>
    </row>
    <row r="59" spans="2:7" x14ac:dyDescent="0.2">
      <c r="B59" s="518">
        <v>845330.84</v>
      </c>
      <c r="C59" s="519" t="s">
        <v>849</v>
      </c>
      <c r="D59" s="516">
        <v>533</v>
      </c>
      <c r="E59" s="523">
        <v>0</v>
      </c>
      <c r="F59" s="516">
        <v>533</v>
      </c>
      <c r="G59" s="516">
        <v>533</v>
      </c>
    </row>
    <row r="60" spans="2:7" x14ac:dyDescent="0.2">
      <c r="B60" s="414" t="s">
        <v>850</v>
      </c>
      <c r="C60" s="459" t="s">
        <v>851</v>
      </c>
      <c r="D60" s="460">
        <f>SUM(D46:D59)</f>
        <v>1870345</v>
      </c>
      <c r="E60" s="460">
        <f>SUM(E46:E59)</f>
        <v>1031558</v>
      </c>
      <c r="F60" s="460">
        <f>SUM(F46:F59)</f>
        <v>1823245</v>
      </c>
      <c r="G60" s="460">
        <f>SUM(G46:G59)</f>
        <v>1823245</v>
      </c>
    </row>
    <row r="61" spans="2:7" x14ac:dyDescent="0.2">
      <c r="B61" s="518"/>
      <c r="C61" s="855"/>
      <c r="D61" s="516"/>
      <c r="E61" s="523"/>
      <c r="F61" s="516"/>
      <c r="G61" s="516"/>
    </row>
    <row r="62" spans="2:7" x14ac:dyDescent="0.2">
      <c r="B62" s="518">
        <v>846500.84</v>
      </c>
      <c r="C62" s="519" t="s">
        <v>852</v>
      </c>
      <c r="D62" s="516">
        <v>185544</v>
      </c>
      <c r="E62" s="516">
        <v>129452</v>
      </c>
      <c r="F62" s="516">
        <v>185544</v>
      </c>
      <c r="G62" s="516">
        <v>185544</v>
      </c>
    </row>
    <row r="63" spans="2:7" x14ac:dyDescent="0.2">
      <c r="B63" s="518">
        <v>846600.84</v>
      </c>
      <c r="C63" s="519" t="s">
        <v>853</v>
      </c>
      <c r="D63" s="516">
        <v>16477</v>
      </c>
      <c r="E63" s="516">
        <v>8211</v>
      </c>
      <c r="F63" s="516">
        <v>16477</v>
      </c>
      <c r="G63" s="516">
        <v>16477</v>
      </c>
    </row>
    <row r="64" spans="2:7" x14ac:dyDescent="0.2">
      <c r="B64" s="518">
        <v>846610.84</v>
      </c>
      <c r="C64" s="519" t="s">
        <v>854</v>
      </c>
      <c r="D64" s="516">
        <v>4000</v>
      </c>
      <c r="E64" s="516">
        <v>2569</v>
      </c>
      <c r="F64" s="516">
        <v>4000</v>
      </c>
      <c r="G64" s="516">
        <v>4000</v>
      </c>
    </row>
    <row r="65" spans="2:7" x14ac:dyDescent="0.2">
      <c r="B65" s="518">
        <v>846700.84</v>
      </c>
      <c r="C65" s="519" t="s">
        <v>855</v>
      </c>
      <c r="D65" s="516">
        <v>46116</v>
      </c>
      <c r="E65" s="516">
        <v>29587</v>
      </c>
      <c r="F65" s="516">
        <v>46116</v>
      </c>
      <c r="G65" s="516">
        <v>46116</v>
      </c>
    </row>
    <row r="66" spans="2:7" x14ac:dyDescent="0.2">
      <c r="B66" s="518">
        <v>846713.84</v>
      </c>
      <c r="C66" s="519" t="s">
        <v>856</v>
      </c>
      <c r="D66" s="516">
        <v>99200</v>
      </c>
      <c r="E66" s="516">
        <v>76078</v>
      </c>
      <c r="F66" s="516">
        <v>99200</v>
      </c>
      <c r="G66" s="516">
        <v>99200</v>
      </c>
    </row>
    <row r="67" spans="2:7" x14ac:dyDescent="0.2">
      <c r="B67" s="518">
        <v>846720.84</v>
      </c>
      <c r="C67" s="519" t="s">
        <v>857</v>
      </c>
      <c r="D67" s="516">
        <v>9907</v>
      </c>
      <c r="E67" s="516">
        <v>4432</v>
      </c>
      <c r="F67" s="516">
        <v>9907</v>
      </c>
      <c r="G67" s="516">
        <v>9907</v>
      </c>
    </row>
    <row r="68" spans="2:7" x14ac:dyDescent="0.2">
      <c r="B68" s="518">
        <v>846730.84</v>
      </c>
      <c r="C68" s="519" t="s">
        <v>858</v>
      </c>
      <c r="D68" s="516">
        <v>6667</v>
      </c>
      <c r="E68" s="516">
        <v>0</v>
      </c>
      <c r="F68" s="516">
        <v>6667</v>
      </c>
      <c r="G68" s="516">
        <v>6667</v>
      </c>
    </row>
    <row r="69" spans="2:7" x14ac:dyDescent="0.2">
      <c r="B69" s="518">
        <v>846800.84</v>
      </c>
      <c r="C69" s="519" t="s">
        <v>859</v>
      </c>
      <c r="D69" s="516">
        <v>6667</v>
      </c>
      <c r="E69" s="516">
        <v>0</v>
      </c>
      <c r="F69" s="516">
        <v>6667</v>
      </c>
      <c r="G69" s="516">
        <v>6667</v>
      </c>
    </row>
    <row r="70" spans="2:7" x14ac:dyDescent="0.2">
      <c r="B70" s="414" t="s">
        <v>860</v>
      </c>
      <c r="C70" s="459" t="s">
        <v>861</v>
      </c>
      <c r="D70" s="460">
        <f>SUM(D62:D69)</f>
        <v>374578</v>
      </c>
      <c r="E70" s="460">
        <f t="shared" ref="E70:G70" si="3">SUM(E62:E69)</f>
        <v>250329</v>
      </c>
      <c r="F70" s="460">
        <f t="shared" si="3"/>
        <v>374578</v>
      </c>
      <c r="G70" s="460">
        <f t="shared" si="3"/>
        <v>374578</v>
      </c>
    </row>
    <row r="71" spans="2:7" x14ac:dyDescent="0.2">
      <c r="B71" s="518"/>
      <c r="C71" s="855"/>
      <c r="D71" s="516"/>
      <c r="E71" s="523"/>
      <c r="F71" s="516"/>
      <c r="G71" s="516"/>
    </row>
    <row r="72" spans="2:7" x14ac:dyDescent="0.2">
      <c r="B72" s="518">
        <v>847100.84</v>
      </c>
      <c r="C72" s="519" t="s">
        <v>862</v>
      </c>
      <c r="D72" s="516">
        <v>16228</v>
      </c>
      <c r="E72" s="516">
        <v>0</v>
      </c>
      <c r="F72" s="516">
        <v>16228</v>
      </c>
      <c r="G72" s="516">
        <v>16228</v>
      </c>
    </row>
    <row r="73" spans="2:7" x14ac:dyDescent="0.2">
      <c r="B73" s="518">
        <v>847110.84</v>
      </c>
      <c r="C73" s="519" t="s">
        <v>863</v>
      </c>
      <c r="D73" s="516">
        <v>5424</v>
      </c>
      <c r="E73" s="516">
        <v>0</v>
      </c>
      <c r="F73" s="516">
        <v>5424</v>
      </c>
      <c r="G73" s="516">
        <v>5424</v>
      </c>
    </row>
    <row r="74" spans="2:7" x14ac:dyDescent="0.2">
      <c r="B74" s="518">
        <v>847112.84</v>
      </c>
      <c r="C74" s="519" t="s">
        <v>864</v>
      </c>
      <c r="D74" s="516">
        <v>1223</v>
      </c>
      <c r="E74" s="516">
        <v>1223</v>
      </c>
      <c r="F74" s="516">
        <v>1223</v>
      </c>
      <c r="G74" s="516">
        <v>1223</v>
      </c>
    </row>
    <row r="75" spans="2:7" x14ac:dyDescent="0.2">
      <c r="B75" s="518">
        <v>847128.84</v>
      </c>
      <c r="C75" s="519" t="s">
        <v>865</v>
      </c>
      <c r="D75" s="516">
        <v>74520</v>
      </c>
      <c r="E75" s="516">
        <v>56607</v>
      </c>
      <c r="F75" s="516">
        <v>74520</v>
      </c>
      <c r="G75" s="516">
        <v>74520</v>
      </c>
    </row>
    <row r="76" spans="2:7" x14ac:dyDescent="0.2">
      <c r="B76" s="518">
        <v>847361.84</v>
      </c>
      <c r="C76" s="519" t="s">
        <v>866</v>
      </c>
      <c r="D76" s="516">
        <v>13333</v>
      </c>
      <c r="E76" s="516">
        <v>4369</v>
      </c>
      <c r="F76" s="516">
        <v>13333</v>
      </c>
      <c r="G76" s="516">
        <v>13333</v>
      </c>
    </row>
    <row r="77" spans="2:7" x14ac:dyDescent="0.2">
      <c r="B77" s="518">
        <v>847412.84</v>
      </c>
      <c r="C77" s="519" t="s">
        <v>867</v>
      </c>
      <c r="D77" s="516">
        <v>37624</v>
      </c>
      <c r="E77" s="516">
        <v>33983</v>
      </c>
      <c r="F77" s="516">
        <v>37624</v>
      </c>
      <c r="G77" s="516">
        <v>37624</v>
      </c>
    </row>
    <row r="78" spans="2:7" x14ac:dyDescent="0.2">
      <c r="B78" s="518" t="s">
        <v>868</v>
      </c>
      <c r="C78" s="459" t="s">
        <v>869</v>
      </c>
      <c r="D78" s="460">
        <f>SUM(D72:D77)</f>
        <v>148352</v>
      </c>
      <c r="E78" s="460">
        <f t="shared" ref="E78:G78" si="4">SUM(E72:E77)</f>
        <v>96182</v>
      </c>
      <c r="F78" s="460">
        <f t="shared" si="4"/>
        <v>148352</v>
      </c>
      <c r="G78" s="460">
        <f t="shared" si="4"/>
        <v>148352</v>
      </c>
    </row>
    <row r="79" spans="2:7" x14ac:dyDescent="0.2">
      <c r="B79" s="518"/>
      <c r="C79" s="856"/>
      <c r="D79" s="857"/>
      <c r="E79" s="460"/>
      <c r="F79" s="460"/>
      <c r="G79" s="460"/>
    </row>
    <row r="80" spans="2:7" x14ac:dyDescent="0.2">
      <c r="B80" s="518">
        <v>848000.84</v>
      </c>
      <c r="C80" s="858" t="s">
        <v>870</v>
      </c>
      <c r="D80" s="859">
        <v>6250</v>
      </c>
      <c r="E80" s="523">
        <v>0</v>
      </c>
      <c r="F80" s="516">
        <v>6250</v>
      </c>
      <c r="G80" s="516">
        <v>6250</v>
      </c>
    </row>
    <row r="81" spans="2:7" x14ac:dyDescent="0.2">
      <c r="B81" s="518">
        <v>848100.84</v>
      </c>
      <c r="C81" s="858" t="s">
        <v>871</v>
      </c>
      <c r="D81" s="859">
        <v>90000</v>
      </c>
      <c r="E81" s="523">
        <v>0</v>
      </c>
      <c r="F81" s="516">
        <f>90000+166670</f>
        <v>256670</v>
      </c>
      <c r="G81" s="516">
        <f>90000+166670</f>
        <v>256670</v>
      </c>
    </row>
    <row r="82" spans="2:7" x14ac:dyDescent="0.2">
      <c r="B82" s="414" t="s">
        <v>872</v>
      </c>
      <c r="C82" s="459" t="s">
        <v>873</v>
      </c>
      <c r="D82" s="460">
        <f>SUM(D80:D81)</f>
        <v>96250</v>
      </c>
      <c r="E82" s="460">
        <f t="shared" ref="E82:G82" si="5">SUM(E80:E81)</f>
        <v>0</v>
      </c>
      <c r="F82" s="460">
        <f t="shared" si="5"/>
        <v>262920</v>
      </c>
      <c r="G82" s="460">
        <f t="shared" si="5"/>
        <v>262920</v>
      </c>
    </row>
    <row r="83" spans="2:7" x14ac:dyDescent="0.2">
      <c r="B83" s="414"/>
      <c r="C83" s="860"/>
      <c r="D83" s="524"/>
      <c r="E83" s="523"/>
      <c r="F83" s="516"/>
      <c r="G83" s="516"/>
    </row>
    <row r="84" spans="2:7" s="653" customFormat="1" ht="15.75" x14ac:dyDescent="0.25">
      <c r="B84" s="474" t="s">
        <v>874</v>
      </c>
      <c r="C84" s="475" t="s">
        <v>50</v>
      </c>
      <c r="D84" s="476">
        <f>D11+D18+D31+D44+D60+D70+D78+D82</f>
        <v>4930885.25</v>
      </c>
      <c r="E84" s="476">
        <f>E11+E18+E31+E44+E60+E70+E78+E82</f>
        <v>2754870</v>
      </c>
      <c r="F84" s="476">
        <f>F11+F18+F31+F44+F60+F70+F78+F82</f>
        <v>5033374</v>
      </c>
      <c r="G84" s="476">
        <f>G11+G18+G31+G44+G60+G70+G78+G82</f>
        <v>5033374</v>
      </c>
    </row>
    <row r="85" spans="2:7" x14ac:dyDescent="0.2">
      <c r="B85" s="861"/>
      <c r="C85" s="855"/>
      <c r="D85" s="862"/>
      <c r="E85" s="523"/>
      <c r="F85" s="862"/>
      <c r="G85" s="862"/>
    </row>
    <row r="87" spans="2:7" x14ac:dyDescent="0.2">
      <c r="D87" s="812">
        <f>'טבלה מעודכנת '!B37</f>
        <v>4820</v>
      </c>
      <c r="E87" s="812">
        <f>'טבלה מעודכנת '!C37</f>
        <v>5533.3580000000002</v>
      </c>
      <c r="F87" s="812">
        <f>'טבלה מעודכנת '!F37</f>
        <v>4820</v>
      </c>
      <c r="G87" s="812">
        <f>'טבלה מעודכנת '!I37</f>
        <v>0</v>
      </c>
    </row>
    <row r="88" spans="2:7" x14ac:dyDescent="0.2">
      <c r="D88" s="513">
        <f>D84/1000-D87</f>
        <v>110.88525000000027</v>
      </c>
      <c r="E88" s="513">
        <f t="shared" ref="E88:G88" si="6">E84/1000-E87</f>
        <v>-2778.4880000000003</v>
      </c>
      <c r="F88" s="513">
        <f t="shared" si="6"/>
        <v>213.3739999999998</v>
      </c>
      <c r="G88" s="513">
        <f t="shared" si="6"/>
        <v>5033.3739999999998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עוספיהפירוט פעולות רווחה</oddHeader>
    <oddFooter>&amp;C&amp;"David,מודגש"&amp;11עמוד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rightToLeft="1" view="pageLayout" topLeftCell="A37" workbookViewId="0">
      <selection activeCell="A21" sqref="A18:K22"/>
    </sheetView>
  </sheetViews>
  <sheetFormatPr defaultColWidth="9.140625" defaultRowHeight="12.75" x14ac:dyDescent="0.2"/>
  <cols>
    <col min="1" max="1" width="11.7109375" style="811" customWidth="1"/>
    <col min="2" max="2" width="35.42578125" style="833" customWidth="1"/>
    <col min="3" max="3" width="10.85546875" style="812" customWidth="1"/>
    <col min="4" max="4" width="10.85546875" style="812" hidden="1" customWidth="1"/>
    <col min="5" max="5" width="10.85546875" style="812" customWidth="1"/>
    <col min="6" max="6" width="13.7109375" style="812" customWidth="1"/>
    <col min="7" max="7" width="7.5703125" style="493" customWidth="1"/>
    <col min="8" max="16384" width="9.140625" style="493"/>
  </cols>
  <sheetData>
    <row r="1" spans="1:6" ht="30" x14ac:dyDescent="0.2">
      <c r="A1" s="818" t="s">
        <v>539</v>
      </c>
      <c r="B1" s="818" t="s">
        <v>1147</v>
      </c>
      <c r="C1" s="819" t="s">
        <v>541</v>
      </c>
      <c r="D1" s="819" t="s">
        <v>65</v>
      </c>
      <c r="E1" s="819" t="s">
        <v>1148</v>
      </c>
      <c r="F1" s="819" t="s">
        <v>1148</v>
      </c>
    </row>
    <row r="2" spans="1:6" s="509" customFormat="1" ht="15" x14ac:dyDescent="0.2">
      <c r="A2" s="820" t="s">
        <v>1149</v>
      </c>
      <c r="B2" s="821" t="s">
        <v>544</v>
      </c>
      <c r="C2" s="819" t="s">
        <v>545</v>
      </c>
      <c r="D2" s="819" t="s">
        <v>546</v>
      </c>
      <c r="E2" s="819" t="s">
        <v>547</v>
      </c>
      <c r="F2" s="819" t="s">
        <v>548</v>
      </c>
    </row>
    <row r="3" spans="1:6" ht="15" x14ac:dyDescent="0.25">
      <c r="A3" s="840"/>
      <c r="B3" s="841"/>
      <c r="C3" s="610"/>
      <c r="D3" s="610"/>
      <c r="E3" s="610"/>
      <c r="F3" s="610"/>
    </row>
    <row r="4" spans="1:6" s="408" customFormat="1" ht="15" x14ac:dyDescent="0.25">
      <c r="A4" s="685">
        <v>121000.29</v>
      </c>
      <c r="B4" s="679" t="s">
        <v>1156</v>
      </c>
      <c r="C4" s="610">
        <f>VLOOKUP('פירוט עצמיות אחר'!A4,'הכנסות '!$B$3:$K$274,3,FALSE)</f>
        <v>7000</v>
      </c>
      <c r="D4" s="610">
        <f>VLOOKUP('פירוט עצמיות אחר'!A4,'הכנסות '!$B$3:$K$274,4,FALSE)</f>
        <v>4485</v>
      </c>
      <c r="E4" s="610">
        <f>VLOOKUP('פירוט עצמיות אחר'!A4,'הכנסות '!$B$3:$K$274,7,FALSE)</f>
        <v>7000</v>
      </c>
      <c r="F4" s="610">
        <f>VLOOKUP('פירוט עצמיות אחר'!A4,'הכנסות '!$B$3:$K$274,8,FALSE)</f>
        <v>7614</v>
      </c>
    </row>
    <row r="5" spans="1:6" s="378" customFormat="1" ht="15" x14ac:dyDescent="0.2">
      <c r="A5" s="842" t="s">
        <v>1157</v>
      </c>
      <c r="B5" s="839" t="s">
        <v>394</v>
      </c>
      <c r="C5" s="483">
        <f>SUM(C4:C4)</f>
        <v>7000</v>
      </c>
      <c r="D5" s="483">
        <f t="shared" ref="D5:F5" si="0">SUM(D4:D4)</f>
        <v>4485</v>
      </c>
      <c r="E5" s="483">
        <f t="shared" si="0"/>
        <v>7000</v>
      </c>
      <c r="F5" s="483">
        <f t="shared" si="0"/>
        <v>7614</v>
      </c>
    </row>
    <row r="6" spans="1:6" s="408" customFormat="1" ht="15" x14ac:dyDescent="0.25">
      <c r="A6" s="685"/>
      <c r="B6" s="679"/>
      <c r="C6" s="610"/>
      <c r="D6" s="610"/>
      <c r="E6" s="610"/>
      <c r="F6" s="610"/>
    </row>
    <row r="7" spans="1:6" s="408" customFormat="1" ht="15" x14ac:dyDescent="0.25">
      <c r="A7" s="843"/>
      <c r="B7" s="844"/>
      <c r="C7" s="610"/>
      <c r="D7" s="610"/>
      <c r="E7" s="610"/>
      <c r="F7" s="610"/>
    </row>
    <row r="8" spans="1:6" ht="15" x14ac:dyDescent="0.25">
      <c r="A8" s="685">
        <v>211000.21</v>
      </c>
      <c r="B8" s="679" t="s">
        <v>989</v>
      </c>
      <c r="C8" s="610">
        <f>VLOOKUP('פירוט עצמיות אחר'!A8,'הכנסות '!$B$3:$K$274,3,FALSE)</f>
        <v>0</v>
      </c>
      <c r="D8" s="610">
        <f>VLOOKUP('פירוט עצמיות אחר'!A8,'הכנסות '!$B$3:$K$274,4,FALSE)</f>
        <v>0</v>
      </c>
      <c r="E8" s="610">
        <f>VLOOKUP('פירוט עצמיות אחר'!A8,'הכנסות '!$B$3:$K$274,7,FALSE)</f>
        <v>0</v>
      </c>
      <c r="F8" s="610">
        <f>VLOOKUP('פירוט עצמיות אחר'!A8,'הכנסות '!$B$3:$K$274,8,FALSE)</f>
        <v>0</v>
      </c>
    </row>
    <row r="9" spans="1:6" ht="15" x14ac:dyDescent="0.25">
      <c r="A9" s="685">
        <v>212300.29</v>
      </c>
      <c r="B9" s="679" t="s">
        <v>1164</v>
      </c>
      <c r="C9" s="610">
        <f>VLOOKUP('פירוט עצמיות אחר'!A9,'הכנסות '!$B$3:$K$274,3,FALSE)</f>
        <v>10000</v>
      </c>
      <c r="D9" s="610">
        <f>VLOOKUP('פירוט עצמיות אחר'!A9,'הכנסות '!$B$3:$K$274,4,FALSE)</f>
        <v>10200</v>
      </c>
      <c r="E9" s="610">
        <f>VLOOKUP('פירוט עצמיות אחר'!A9,'הכנסות '!$B$3:$K$274,7,FALSE)</f>
        <v>10000</v>
      </c>
      <c r="F9" s="610">
        <f>VLOOKUP('פירוט עצמיות אחר'!A9,'הכנסות '!$B$3:$K$274,8,FALSE)</f>
        <v>10400</v>
      </c>
    </row>
    <row r="10" spans="1:6" ht="15" x14ac:dyDescent="0.25">
      <c r="A10" s="685">
        <v>213300.29</v>
      </c>
      <c r="B10" s="679" t="s">
        <v>1165</v>
      </c>
      <c r="C10" s="610">
        <f>VLOOKUP('פירוט עצמיות אחר'!A10,'הכנסות '!$B$3:$K$274,3,FALSE)</f>
        <v>10000</v>
      </c>
      <c r="D10" s="610">
        <f>VLOOKUP('פירוט עצמיות אחר'!A10,'הכנסות '!$B$3:$K$274,4,FALSE)</f>
        <v>0</v>
      </c>
      <c r="E10" s="610">
        <f>VLOOKUP('פירוט עצמיות אחר'!A10,'הכנסות '!$B$3:$K$274,7,FALSE)</f>
        <v>10000</v>
      </c>
      <c r="F10" s="610">
        <f>VLOOKUP('פירוט עצמיות אחר'!A10,'הכנסות '!$B$3:$K$274,8,FALSE)</f>
        <v>2154</v>
      </c>
    </row>
    <row r="11" spans="1:6" ht="15" x14ac:dyDescent="0.25">
      <c r="A11" s="685">
        <v>214300.22</v>
      </c>
      <c r="B11" s="679" t="s">
        <v>1166</v>
      </c>
      <c r="C11" s="610">
        <f>VLOOKUP('פירוט עצמיות אחר'!A11,'הכנסות '!$B$3:$K$274,3,FALSE)</f>
        <v>13815</v>
      </c>
      <c r="D11" s="610">
        <f>VLOOKUP('פירוט עצמיות אחר'!A11,'הכנסות '!$B$3:$K$274,4,FALSE)</f>
        <v>15824</v>
      </c>
      <c r="E11" s="610">
        <f>VLOOKUP('פירוט עצמיות אחר'!A11,'הכנסות '!$B$3:$K$274,7,FALSE)</f>
        <v>13815</v>
      </c>
      <c r="F11" s="610">
        <f>VLOOKUP('פירוט עצמיות אחר'!A11,'הכנסות '!$B$3:$K$274,8,FALSE)</f>
        <v>10785</v>
      </c>
    </row>
    <row r="12" spans="1:6" ht="15" x14ac:dyDescent="0.25">
      <c r="A12" s="834" t="s">
        <v>1167</v>
      </c>
      <c r="B12" s="835" t="s">
        <v>1168</v>
      </c>
      <c r="C12" s="680">
        <f>SUM(C8:C11)</f>
        <v>33815</v>
      </c>
      <c r="D12" s="680">
        <f t="shared" ref="D12:F12" si="1">SUM(D8:D11)</f>
        <v>26024</v>
      </c>
      <c r="E12" s="680">
        <f t="shared" si="1"/>
        <v>33815</v>
      </c>
      <c r="F12" s="680">
        <f t="shared" si="1"/>
        <v>23339</v>
      </c>
    </row>
    <row r="13" spans="1:6" ht="15" x14ac:dyDescent="0.25">
      <c r="A13" s="834"/>
      <c r="B13" s="835"/>
      <c r="C13" s="680"/>
      <c r="D13" s="680"/>
      <c r="E13" s="680"/>
      <c r="F13" s="680"/>
    </row>
    <row r="14" spans="1:6" ht="15" x14ac:dyDescent="0.25">
      <c r="A14" s="685">
        <v>233100.71</v>
      </c>
      <c r="B14" s="679" t="s">
        <v>1169</v>
      </c>
      <c r="C14" s="610" t="e">
        <f>VLOOKUP('פירוט עצמיות אחר'!A14,'הכנסות '!$B$3:$K$274,3,FALSE)</f>
        <v>#N/A</v>
      </c>
      <c r="D14" s="610" t="e">
        <f>VLOOKUP('פירוט עצמיות אחר'!A14,'הכנסות '!$B$3:$K$274,4,FALSE)</f>
        <v>#N/A</v>
      </c>
      <c r="E14" s="610" t="e">
        <f>VLOOKUP('פירוט עצמיות אחר'!A14,'הכנסות '!$B$3:$K$274,7,FALSE)</f>
        <v>#N/A</v>
      </c>
      <c r="F14" s="610" t="e">
        <f>VLOOKUP('פירוט עצמיות אחר'!A14,'הכנסות '!$B$3:$K$274,8,FALSE)</f>
        <v>#N/A</v>
      </c>
    </row>
    <row r="15" spans="1:6" ht="15" x14ac:dyDescent="0.25">
      <c r="A15" s="685">
        <v>233100.72</v>
      </c>
      <c r="B15" s="679" t="s">
        <v>1170</v>
      </c>
      <c r="C15" s="610" t="e">
        <f>VLOOKUP('פירוט עצמיות אחר'!A15,'הכנסות '!$B$3:$K$274,3,FALSE)</f>
        <v>#N/A</v>
      </c>
      <c r="D15" s="610" t="e">
        <f>VLOOKUP('פירוט עצמיות אחר'!A15,'הכנסות '!$B$3:$K$274,4,FALSE)</f>
        <v>#N/A</v>
      </c>
      <c r="E15" s="610" t="e">
        <f>VLOOKUP('פירוט עצמיות אחר'!A15,'הכנסות '!$B$3:$K$274,7,FALSE)</f>
        <v>#N/A</v>
      </c>
      <c r="F15" s="610" t="e">
        <f>VLOOKUP('פירוט עצמיות אחר'!A15,'הכנסות '!$B$3:$K$274,8,FALSE)</f>
        <v>#N/A</v>
      </c>
    </row>
    <row r="16" spans="1:6" ht="15" x14ac:dyDescent="0.25">
      <c r="A16" s="685">
        <v>233400.71</v>
      </c>
      <c r="B16" s="603" t="s">
        <v>1172</v>
      </c>
      <c r="C16" s="610">
        <f>VLOOKUP('פירוט עצמיות אחר'!A16,'הכנסות '!$B$3:$K$274,3,FALSE)</f>
        <v>1111000</v>
      </c>
      <c r="D16" s="610">
        <f>VLOOKUP('פירוט עצמיות אחר'!A16,'הכנסות '!$B$3:$K$274,4,FALSE)</f>
        <v>781000</v>
      </c>
      <c r="E16" s="610">
        <f>VLOOKUP('פירוט עצמיות אחר'!A16,'הכנסות '!$B$3:$K$274,7,FALSE)</f>
        <v>1111000</v>
      </c>
      <c r="F16" s="610">
        <f>VLOOKUP('פירוט עצמיות אחר'!A16,'הכנסות '!$B$3:$K$274,8,FALSE)</f>
        <v>0</v>
      </c>
    </row>
    <row r="17" spans="1:6" ht="15" x14ac:dyDescent="0.25">
      <c r="A17" s="685">
        <v>233400.71100000001</v>
      </c>
      <c r="B17" s="603" t="s">
        <v>1173</v>
      </c>
      <c r="C17" s="610">
        <f>VLOOKUP('פירוט עצמיות אחר'!A17,'הכנסות '!$B$3:$K$274,3,FALSE)</f>
        <v>0</v>
      </c>
      <c r="D17" s="610">
        <f>VLOOKUP('פירוט עצמיות אחר'!A17,'הכנסות '!$B$3:$K$274,4,FALSE)</f>
        <v>0</v>
      </c>
      <c r="E17" s="610">
        <f>VLOOKUP('פירוט עצמיות אחר'!A17,'הכנסות '!$B$3:$K$274,7,FALSE)</f>
        <v>0</v>
      </c>
      <c r="F17" s="610">
        <f>VLOOKUP('פירוט עצמיות אחר'!A17,'הכנסות '!$B$3:$K$274,8,FALSE)</f>
        <v>0</v>
      </c>
    </row>
    <row r="18" spans="1:6" s="407" customFormat="1" ht="15" x14ac:dyDescent="0.25">
      <c r="A18" s="834" t="s">
        <v>1174</v>
      </c>
      <c r="B18" s="835" t="s">
        <v>1175</v>
      </c>
      <c r="C18" s="680" t="e">
        <f>SUM(C14:C17)</f>
        <v>#N/A</v>
      </c>
      <c r="D18" s="836" t="e">
        <f>SUM(D14:D17)</f>
        <v>#N/A</v>
      </c>
      <c r="E18" s="680" t="e">
        <f>SUM(E14:E17)</f>
        <v>#N/A</v>
      </c>
      <c r="F18" s="680" t="e">
        <f>SUM(F14:F17)</f>
        <v>#N/A</v>
      </c>
    </row>
    <row r="19" spans="1:6" ht="15" x14ac:dyDescent="0.25">
      <c r="A19" s="685"/>
      <c r="B19" s="679"/>
      <c r="C19" s="610"/>
      <c r="D19" s="610"/>
      <c r="E19" s="610"/>
      <c r="F19" s="610"/>
    </row>
    <row r="20" spans="1:6" ht="15" x14ac:dyDescent="0.25">
      <c r="A20" s="685">
        <v>243000.64</v>
      </c>
      <c r="B20" s="679" t="s">
        <v>1176</v>
      </c>
      <c r="C20" s="610" t="e">
        <f>VLOOKUP('פירוט עצמיות אחר'!A20,'הכנסות '!$B$3:$K$274,3,FALSE)</f>
        <v>#N/A</v>
      </c>
      <c r="D20" s="610" t="e">
        <f>VLOOKUP('פירוט עצמיות אחר'!A20,'הכנסות '!$B$3:$K$274,4,FALSE)</f>
        <v>#N/A</v>
      </c>
      <c r="E20" s="610" t="e">
        <f>VLOOKUP('פירוט עצמיות אחר'!A20,'הכנסות '!$B$3:$K$274,7,FALSE)</f>
        <v>#N/A</v>
      </c>
      <c r="F20" s="610" t="e">
        <f>VLOOKUP('פירוט עצמיות אחר'!A20,'הכנסות '!$B$3:$K$274,8,FALSE)</f>
        <v>#N/A</v>
      </c>
    </row>
    <row r="21" spans="1:6" s="407" customFormat="1" ht="15" x14ac:dyDescent="0.25">
      <c r="A21" s="834" t="s">
        <v>1178</v>
      </c>
      <c r="B21" s="835" t="s">
        <v>652</v>
      </c>
      <c r="C21" s="680" t="e">
        <f>SUM(C19:C20)</f>
        <v>#N/A</v>
      </c>
      <c r="D21" s="680" t="e">
        <f>SUM(D19:D20)</f>
        <v>#N/A</v>
      </c>
      <c r="E21" s="680" t="e">
        <f>SUM(E19:E20)</f>
        <v>#N/A</v>
      </c>
      <c r="F21" s="680" t="e">
        <f>SUM(F19:F20)</f>
        <v>#N/A</v>
      </c>
    </row>
    <row r="22" spans="1:6" s="407" customFormat="1" ht="15" x14ac:dyDescent="0.25">
      <c r="A22" s="685"/>
      <c r="B22" s="679"/>
      <c r="C22" s="610"/>
      <c r="D22" s="610"/>
      <c r="E22" s="610"/>
      <c r="F22" s="610"/>
    </row>
    <row r="23" spans="1:6" ht="15" x14ac:dyDescent="0.25">
      <c r="A23" s="685">
        <v>269000.69</v>
      </c>
      <c r="B23" s="679" t="s">
        <v>1179</v>
      </c>
      <c r="C23" s="610">
        <f>VLOOKUP('פירוט עצמיות אחר'!A23,'הכנסות '!$B$3:$K$274,3,FALSE)</f>
        <v>15000</v>
      </c>
      <c r="D23" s="610">
        <f>VLOOKUP('פירוט עצמיות אחר'!A23,'הכנסות '!$B$3:$K$274,4,FALSE)</f>
        <v>22102</v>
      </c>
      <c r="E23" s="610">
        <f>VLOOKUP('פירוט עצמיות אחר'!A23,'הכנסות '!$B$3:$K$274,7,FALSE)</f>
        <v>15000</v>
      </c>
      <c r="F23" s="610">
        <f>VLOOKUP('פירוט עצמיות אחר'!A23,'הכנסות '!$B$3:$K$274,8,FALSE)</f>
        <v>19502</v>
      </c>
    </row>
    <row r="24" spans="1:6" ht="15" x14ac:dyDescent="0.25">
      <c r="A24" s="685">
        <v>269000.78999999998</v>
      </c>
      <c r="B24" s="679" t="s">
        <v>1180</v>
      </c>
      <c r="C24" s="610" t="e">
        <f>VLOOKUP('פירוט עצמיות אחר'!A24,'הכנסות '!$B$3:$K$274,3,FALSE)</f>
        <v>#N/A</v>
      </c>
      <c r="D24" s="610" t="e">
        <f>VLOOKUP('פירוט עצמיות אחר'!A24,'הכנסות '!$B$3:$K$274,4,FALSE)</f>
        <v>#N/A</v>
      </c>
      <c r="E24" s="610" t="e">
        <f>VLOOKUP('פירוט עצמיות אחר'!A24,'הכנסות '!$B$3:$K$274,7,FALSE)</f>
        <v>#N/A</v>
      </c>
      <c r="F24" s="610" t="e">
        <f>VLOOKUP('פירוט עצמיות אחר'!A24,'הכנסות '!$B$3:$K$274,8,FALSE)</f>
        <v>#N/A</v>
      </c>
    </row>
    <row r="25" spans="1:6" ht="15" x14ac:dyDescent="0.25">
      <c r="A25" s="685">
        <v>269100.69</v>
      </c>
      <c r="B25" s="679" t="s">
        <v>1181</v>
      </c>
      <c r="C25" s="610">
        <f>VLOOKUP('פירוט עצמיות אחר'!A25,'הכנסות '!$B$3:$K$274,3,FALSE)</f>
        <v>0</v>
      </c>
      <c r="D25" s="610">
        <f>VLOOKUP('פירוט עצמיות אחר'!A25,'הכנסות '!$B$3:$K$274,4,FALSE)</f>
        <v>0</v>
      </c>
      <c r="E25" s="610">
        <f>VLOOKUP('פירוט עצמיות אחר'!A25,'הכנסות '!$B$3:$K$274,7,FALSE)</f>
        <v>0</v>
      </c>
      <c r="F25" s="610">
        <f>VLOOKUP('פירוט עצמיות אחר'!A25,'הכנסות '!$B$3:$K$274,8,FALSE)</f>
        <v>0</v>
      </c>
    </row>
    <row r="26" spans="1:6" ht="15" x14ac:dyDescent="0.25">
      <c r="A26" s="685">
        <v>269110.69</v>
      </c>
      <c r="B26" s="679" t="s">
        <v>1182</v>
      </c>
      <c r="C26" s="610" t="e">
        <f>VLOOKUP('פירוט עצמיות אחר'!A26,'הכנסות '!$B$3:$K$274,3,FALSE)</f>
        <v>#N/A</v>
      </c>
      <c r="D26" s="610" t="e">
        <f>VLOOKUP('פירוט עצמיות אחר'!A26,'הכנסות '!$B$3:$K$274,4,FALSE)</f>
        <v>#N/A</v>
      </c>
      <c r="E26" s="610" t="e">
        <f>VLOOKUP('פירוט עצמיות אחר'!A26,'הכנסות '!$B$3:$K$274,7,FALSE)</f>
        <v>#N/A</v>
      </c>
      <c r="F26" s="610" t="e">
        <f>VLOOKUP('פירוט עצמיות אחר'!A26,'הכנסות '!$B$3:$K$274,8,FALSE)</f>
        <v>#N/A</v>
      </c>
    </row>
    <row r="27" spans="1:6" ht="15" x14ac:dyDescent="0.25">
      <c r="A27" s="685">
        <v>269120.69</v>
      </c>
      <c r="B27" s="679" t="s">
        <v>1183</v>
      </c>
      <c r="C27" s="610" t="e">
        <f>VLOOKUP('פירוט עצמיות אחר'!A27,'הכנסות '!$B$3:$K$274,3,FALSE)</f>
        <v>#N/A</v>
      </c>
      <c r="D27" s="610" t="e">
        <f>VLOOKUP('פירוט עצמיות אחר'!A27,'הכנסות '!$B$3:$K$274,4,FALSE)</f>
        <v>#N/A</v>
      </c>
      <c r="E27" s="610" t="e">
        <f>VLOOKUP('פירוט עצמיות אחר'!A27,'הכנסות '!$B$3:$K$274,7,FALSE)</f>
        <v>#N/A</v>
      </c>
      <c r="F27" s="610" t="e">
        <f>VLOOKUP('פירוט עצמיות אחר'!A27,'הכנסות '!$B$3:$K$274,8,FALSE)</f>
        <v>#N/A</v>
      </c>
    </row>
    <row r="28" spans="1:6" s="407" customFormat="1" ht="15" x14ac:dyDescent="0.25">
      <c r="A28" s="834" t="s">
        <v>1184</v>
      </c>
      <c r="B28" s="835" t="s">
        <v>1185</v>
      </c>
      <c r="C28" s="680" t="e">
        <f>SUM(C22:C27)</f>
        <v>#N/A</v>
      </c>
      <c r="D28" s="680" t="e">
        <f t="shared" ref="D28:F28" si="2">SUM(D22:D27)</f>
        <v>#N/A</v>
      </c>
      <c r="E28" s="680" t="e">
        <f t="shared" si="2"/>
        <v>#N/A</v>
      </c>
      <c r="F28" s="680" t="e">
        <f t="shared" si="2"/>
        <v>#N/A</v>
      </c>
    </row>
    <row r="29" spans="1:6" ht="15" x14ac:dyDescent="0.25">
      <c r="A29" s="829"/>
      <c r="B29" s="692"/>
      <c r="C29" s="610"/>
      <c r="D29" s="610"/>
      <c r="E29" s="610"/>
      <c r="F29" s="610"/>
    </row>
    <row r="30" spans="1:6" s="411" customFormat="1" ht="15" x14ac:dyDescent="0.2">
      <c r="A30" s="845" t="s">
        <v>409</v>
      </c>
      <c r="B30" s="846" t="s">
        <v>1186</v>
      </c>
      <c r="C30" s="682" t="e">
        <f>C12+C18+C21+C28</f>
        <v>#N/A</v>
      </c>
      <c r="D30" s="682" t="e">
        <f>D12+D18+D21+D28</f>
        <v>#N/A</v>
      </c>
      <c r="E30" s="682" t="e">
        <f>E12+E18+E21+E28</f>
        <v>#N/A</v>
      </c>
      <c r="F30" s="682" t="e">
        <f>F12+F18+F21+F28</f>
        <v>#N/A</v>
      </c>
    </row>
    <row r="31" spans="1:6" s="408" customFormat="1" ht="15" x14ac:dyDescent="0.25">
      <c r="A31" s="843"/>
      <c r="B31" s="844"/>
      <c r="C31" s="610"/>
      <c r="D31" s="610"/>
      <c r="E31" s="610"/>
      <c r="F31" s="610"/>
    </row>
    <row r="32" spans="1:6" s="408" customFormat="1" ht="15" x14ac:dyDescent="0.25">
      <c r="A32" s="685">
        <v>329300.42</v>
      </c>
      <c r="B32" s="679" t="s">
        <v>1251</v>
      </c>
      <c r="C32" s="610">
        <f>VLOOKUP('פירוט עצמיות אחר'!A32,'הכנסות '!$B$3:$K$274,3,FALSE)</f>
        <v>54900</v>
      </c>
      <c r="D32" s="610">
        <f>VLOOKUP('פירוט עצמיות אחר'!A32,'הכנסות '!$B$3:$K$274,4,FALSE)</f>
        <v>57810</v>
      </c>
      <c r="E32" s="610">
        <f>VLOOKUP('פירוט עצמיות אחר'!A32,'הכנסות '!$B$3:$K$274,7,FALSE)</f>
        <v>55000</v>
      </c>
      <c r="F32" s="610">
        <f>VLOOKUP('פירוט עצמיות אחר'!A32,'הכנסות '!$B$3:$K$274,8,FALSE)</f>
        <v>10800</v>
      </c>
    </row>
    <row r="33" spans="1:6" ht="15" x14ac:dyDescent="0.25">
      <c r="A33" s="685">
        <v>328300.42</v>
      </c>
      <c r="B33" s="679" t="s">
        <v>1249</v>
      </c>
      <c r="C33" s="610">
        <f>VLOOKUP('פירוט עצמיות אחר'!A33,'הכנסות '!$B$3:$K$274,3,FALSE)</f>
        <v>3000</v>
      </c>
      <c r="D33" s="610">
        <f>VLOOKUP('פירוט עצמיות אחר'!A33,'הכנסות '!$B$3:$K$274,4,FALSE)</f>
        <v>2400</v>
      </c>
      <c r="E33" s="610">
        <f>VLOOKUP('פירוט עצמיות אחר'!A33,'הכנסות '!$B$3:$K$274,7,FALSE)</f>
        <v>10000</v>
      </c>
      <c r="F33" s="610">
        <f>VLOOKUP('פירוט עצמיות אחר'!A33,'הכנסות '!$B$3:$K$274,8,FALSE)</f>
        <v>23460</v>
      </c>
    </row>
    <row r="34" spans="1:6" s="407" customFormat="1" ht="15" x14ac:dyDescent="0.25">
      <c r="A34" s="685"/>
      <c r="B34" s="835" t="s">
        <v>1250</v>
      </c>
      <c r="C34" s="680">
        <f>SUM(C32:C33)</f>
        <v>57900</v>
      </c>
      <c r="D34" s="680">
        <f t="shared" ref="D34:E34" si="3">SUM(D32:D33)</f>
        <v>60210</v>
      </c>
      <c r="E34" s="680">
        <f t="shared" si="3"/>
        <v>65000</v>
      </c>
      <c r="F34" s="680">
        <f>SUM(F32:F33)</f>
        <v>34260</v>
      </c>
    </row>
    <row r="35" spans="1:6" ht="15" x14ac:dyDescent="0.25">
      <c r="A35" s="685"/>
      <c r="B35" s="692"/>
      <c r="C35" s="610"/>
      <c r="D35" s="610"/>
      <c r="E35" s="610"/>
      <c r="F35" s="610"/>
    </row>
    <row r="36" spans="1:6" ht="15" x14ac:dyDescent="0.25">
      <c r="A36" s="829"/>
      <c r="B36" s="692"/>
      <c r="C36" s="610"/>
      <c r="D36" s="610"/>
      <c r="E36" s="610"/>
      <c r="F36" s="610"/>
    </row>
    <row r="37" spans="1:6" ht="15" x14ac:dyDescent="0.25">
      <c r="A37" s="685">
        <v>378000.49</v>
      </c>
      <c r="B37" s="692" t="s">
        <v>1306</v>
      </c>
      <c r="C37" s="610">
        <f>VLOOKUP('פירוט עצמיות אחר'!A37,'הכנסות '!$B$3:$K$274,3,FALSE)</f>
        <v>0</v>
      </c>
      <c r="D37" s="610">
        <f>VLOOKUP('פירוט עצמיות אחר'!A37,'הכנסות '!$B$3:$K$274,4,FALSE)</f>
        <v>0</v>
      </c>
      <c r="E37" s="610">
        <f>VLOOKUP('פירוט עצמיות אחר'!A37,'הכנסות '!$B$3:$K$274,7,FALSE)</f>
        <v>120000</v>
      </c>
      <c r="F37" s="610">
        <f>VLOOKUP('פירוט עצמיות אחר'!A37,'הכנסות '!$B$3:$K$274,8,FALSE)</f>
        <v>0</v>
      </c>
    </row>
    <row r="38" spans="1:6" s="378" customFormat="1" ht="15" x14ac:dyDescent="0.2">
      <c r="A38" s="842" t="s">
        <v>1308</v>
      </c>
      <c r="B38" s="839" t="s">
        <v>991</v>
      </c>
      <c r="C38" s="483">
        <f>SUM(C37:C37)</f>
        <v>0</v>
      </c>
      <c r="D38" s="483">
        <f>SUM(D37:D37)</f>
        <v>0</v>
      </c>
      <c r="E38" s="483">
        <f>SUM(E37:E37)</f>
        <v>120000</v>
      </c>
      <c r="F38" s="483">
        <f>SUM(F37:F37)</f>
        <v>0</v>
      </c>
    </row>
    <row r="39" spans="1:6" ht="15" x14ac:dyDescent="0.25">
      <c r="A39" s="829"/>
      <c r="B39" s="692"/>
      <c r="C39" s="610"/>
      <c r="D39" s="610"/>
      <c r="E39" s="610"/>
      <c r="F39" s="610"/>
    </row>
    <row r="40" spans="1:6" s="412" customFormat="1" ht="15" x14ac:dyDescent="0.2">
      <c r="A40" s="826" t="s">
        <v>415</v>
      </c>
      <c r="B40" s="827" t="s">
        <v>883</v>
      </c>
      <c r="C40" s="828">
        <f>C38</f>
        <v>0</v>
      </c>
      <c r="D40" s="828">
        <f t="shared" ref="D40:F40" si="4">D38</f>
        <v>0</v>
      </c>
      <c r="E40" s="828">
        <f t="shared" si="4"/>
        <v>120000</v>
      </c>
      <c r="F40" s="828">
        <f t="shared" si="4"/>
        <v>0</v>
      </c>
    </row>
    <row r="41" spans="1:6" ht="15" x14ac:dyDescent="0.25">
      <c r="A41" s="829"/>
      <c r="B41" s="692"/>
      <c r="C41" s="610"/>
      <c r="D41" s="610"/>
      <c r="E41" s="610"/>
      <c r="F41" s="610"/>
    </row>
    <row r="42" spans="1:6" ht="15" x14ac:dyDescent="0.25">
      <c r="A42" s="685">
        <v>413101.21</v>
      </c>
      <c r="B42" s="679" t="s">
        <v>1310</v>
      </c>
      <c r="C42" s="610">
        <f>VLOOKUP('פירוט עצמיות אחר'!A42,'הכנסות '!$B$3:$K$274,3,FALSE)</f>
        <v>3000</v>
      </c>
      <c r="D42" s="610">
        <f>VLOOKUP('פירוט עצמיות אחר'!A42,'הכנסות '!$B$3:$K$274,4,FALSE)</f>
        <v>3850</v>
      </c>
      <c r="E42" s="610">
        <f>VLOOKUP('פירוט עצמיות אחר'!A42,'הכנסות '!$B$3:$K$274,7,FALSE)</f>
        <v>0</v>
      </c>
      <c r="F42" s="610">
        <f>VLOOKUP('פירוט עצמיות אחר'!A42,'הכנסות '!$B$3:$K$274,8,FALSE)</f>
        <v>1653</v>
      </c>
    </row>
    <row r="43" spans="1:6" ht="15" x14ac:dyDescent="0.25">
      <c r="A43" s="685">
        <v>413300.81</v>
      </c>
      <c r="B43" s="679" t="s">
        <v>1312</v>
      </c>
      <c r="C43" s="610">
        <f>VLOOKUP('פירוט עצמיות אחר'!A43,'הכנסות '!$B$3:$K$274,3,FALSE)</f>
        <v>250500</v>
      </c>
      <c r="D43" s="610">
        <f>VLOOKUP('פירוט עצמיות אחר'!A43,'הכנסות '!$B$3:$K$274,4,FALSE)</f>
        <v>316048</v>
      </c>
      <c r="E43" s="610">
        <f>VLOOKUP('פירוט עצמיות אחר'!A43,'הכנסות '!$B$3:$K$274,7,FALSE)</f>
        <v>0</v>
      </c>
      <c r="F43" s="610">
        <f>VLOOKUP('פירוט עצמיות אחר'!A43,'הכנסות '!$B$3:$K$274,8,FALSE)</f>
        <v>345648</v>
      </c>
    </row>
    <row r="44" spans="1:6" ht="15" x14ac:dyDescent="0.25">
      <c r="A44" s="685">
        <v>413400.81</v>
      </c>
      <c r="B44" s="679" t="s">
        <v>1313</v>
      </c>
      <c r="C44" s="610">
        <f>VLOOKUP('פירוט עצמיות אחר'!A44,'הכנסות '!$B$3:$K$274,3,FALSE)</f>
        <v>5000</v>
      </c>
      <c r="D44" s="610">
        <f>VLOOKUP('פירוט עצמיות אחר'!A44,'הכנסות '!$B$3:$K$274,4,FALSE)</f>
        <v>2</v>
      </c>
      <c r="E44" s="610">
        <f>VLOOKUP('פירוט עצמיות אחר'!A44,'הכנסות '!$B$3:$K$274,7,FALSE)</f>
        <v>0</v>
      </c>
      <c r="F44" s="610">
        <v>0</v>
      </c>
    </row>
    <row r="45" spans="1:6" s="378" customFormat="1" ht="15" x14ac:dyDescent="0.2">
      <c r="A45" s="838"/>
      <c r="B45" s="847" t="s">
        <v>894</v>
      </c>
      <c r="C45" s="848">
        <f>SUM(C42:C44)</f>
        <v>258500</v>
      </c>
      <c r="D45" s="848">
        <f t="shared" ref="D45:F45" si="5">SUM(D42:D44)</f>
        <v>319900</v>
      </c>
      <c r="E45" s="848">
        <f t="shared" si="5"/>
        <v>0</v>
      </c>
      <c r="F45" s="848">
        <f t="shared" si="5"/>
        <v>347301</v>
      </c>
    </row>
    <row r="46" spans="1:6" ht="15" x14ac:dyDescent="0.25">
      <c r="A46" s="829"/>
      <c r="B46" s="692"/>
      <c r="C46" s="610"/>
      <c r="D46" s="610"/>
      <c r="E46" s="610"/>
      <c r="F46" s="610"/>
    </row>
    <row r="47" spans="1:6" ht="15" x14ac:dyDescent="0.25">
      <c r="A47" s="701">
        <v>472000.21</v>
      </c>
      <c r="B47" s="692" t="s">
        <v>1314</v>
      </c>
      <c r="C47" s="610">
        <f>VLOOKUP('פירוט עצמיות אחר'!A47,'הכנסות '!$B$3:$K$274,3,FALSE)</f>
        <v>106000</v>
      </c>
      <c r="D47" s="610">
        <f>VLOOKUP('פירוט עצמיות אחר'!A47,'הכנסות '!$B$3:$K$274,4,FALSE)</f>
        <v>100809</v>
      </c>
      <c r="E47" s="610">
        <f>VLOOKUP('פירוט עצמיות אחר'!A47,'הכנסות '!$B$3:$K$274,7,FALSE)</f>
        <v>0</v>
      </c>
      <c r="F47" s="610">
        <f>VLOOKUP('פירוט עצמיות אחר'!A47,'הכנסות '!$B$3:$K$274,8,FALSE)</f>
        <v>4868</v>
      </c>
    </row>
    <row r="48" spans="1:6" ht="15" x14ac:dyDescent="0.25">
      <c r="A48" s="685">
        <v>472000.22</v>
      </c>
      <c r="B48" s="679" t="s">
        <v>1315</v>
      </c>
      <c r="C48" s="610">
        <f>VLOOKUP('פירוט עצמיות אחר'!A48,'הכנסות '!$B$3:$K$274,3,FALSE)</f>
        <v>93978</v>
      </c>
      <c r="D48" s="610">
        <f>VLOOKUP('פירוט עצמיות אחר'!A48,'הכנסות '!$B$3:$K$274,4,FALSE)</f>
        <v>83858</v>
      </c>
      <c r="E48" s="610">
        <f>VLOOKUP('פירוט עצמיות אחר'!A48,'הכנסות '!$B$3:$K$274,7,FALSE)</f>
        <v>0</v>
      </c>
      <c r="F48" s="610">
        <f>VLOOKUP('פירוט עצמיות אחר'!A48,'הכנסות '!$B$3:$K$274,8,FALSE)</f>
        <v>10631</v>
      </c>
    </row>
    <row r="49" spans="1:6" ht="15" x14ac:dyDescent="0.25">
      <c r="A49" s="685">
        <v>472000.31</v>
      </c>
      <c r="B49" s="679" t="s">
        <v>1316</v>
      </c>
      <c r="C49" s="610">
        <f>VLOOKUP('פירוט עצמיות אחר'!A49,'הכנסות '!$B$3:$K$274,3,FALSE)</f>
        <v>55500</v>
      </c>
      <c r="D49" s="610">
        <f>VLOOKUP('פירוט עצמיות אחר'!A49,'הכנסות '!$B$3:$K$274,4,FALSE)</f>
        <v>78338</v>
      </c>
      <c r="E49" s="610">
        <f>VLOOKUP('פירוט עצמיות אחר'!A49,'הכנסות '!$B$3:$K$274,7,FALSE)</f>
        <v>0</v>
      </c>
      <c r="F49" s="610">
        <f>VLOOKUP('פירוט עצמיות אחר'!A49,'הכנסות '!$B$3:$K$274,8,FALSE)</f>
        <v>30708</v>
      </c>
    </row>
    <row r="50" spans="1:6" ht="15" x14ac:dyDescent="0.25">
      <c r="A50" s="701">
        <v>472000.81</v>
      </c>
      <c r="B50" s="692" t="s">
        <v>1317</v>
      </c>
      <c r="C50" s="610">
        <f>VLOOKUP('פירוט עצמיות אחר'!A50,'הכנסות '!$B$3:$K$274,3,FALSE)</f>
        <v>41666.666666666672</v>
      </c>
      <c r="D50" s="610">
        <f>VLOOKUP('פירוט עצמיות אחר'!A50,'הכנסות '!$B$3:$K$274,4,FALSE)</f>
        <v>0</v>
      </c>
      <c r="E50" s="610">
        <f>VLOOKUP('פירוט עצמיות אחר'!A50,'הכנסות '!$B$3:$K$274,7,FALSE)</f>
        <v>0</v>
      </c>
      <c r="F50" s="610">
        <f>VLOOKUP('פירוט עצמיות אחר'!A50,'הכנסות '!$B$3:$K$274,8,FALSE)</f>
        <v>0</v>
      </c>
    </row>
    <row r="51" spans="1:6" s="412" customFormat="1" ht="15" x14ac:dyDescent="0.2">
      <c r="A51" s="838"/>
      <c r="B51" s="847" t="s">
        <v>905</v>
      </c>
      <c r="C51" s="848">
        <f>SUM(C47:C50)</f>
        <v>297144.66666666669</v>
      </c>
      <c r="D51" s="848">
        <f t="shared" ref="D51:F51" si="6">SUM(D47:D50)</f>
        <v>263005</v>
      </c>
      <c r="E51" s="848">
        <f t="shared" si="6"/>
        <v>0</v>
      </c>
      <c r="F51" s="848">
        <f t="shared" si="6"/>
        <v>46207</v>
      </c>
    </row>
    <row r="52" spans="1:6" ht="15" x14ac:dyDescent="0.25">
      <c r="A52" s="849"/>
      <c r="B52" s="850"/>
      <c r="C52" s="610"/>
      <c r="D52" s="610"/>
      <c r="E52" s="610"/>
      <c r="F52" s="610"/>
    </row>
    <row r="53" spans="1:6" ht="15" x14ac:dyDescent="0.2">
      <c r="A53" s="826" t="s">
        <v>422</v>
      </c>
      <c r="B53" s="827" t="s">
        <v>140</v>
      </c>
      <c r="C53" s="828">
        <f>SUM(C45+C51)</f>
        <v>555644.66666666674</v>
      </c>
      <c r="D53" s="828">
        <f t="shared" ref="D53:E53" si="7">SUM(D45+D51)</f>
        <v>582905</v>
      </c>
      <c r="E53" s="828">
        <f t="shared" si="7"/>
        <v>0</v>
      </c>
      <c r="F53" s="828">
        <f>SUM(F45+F51)</f>
        <v>393508</v>
      </c>
    </row>
    <row r="54" spans="1:6" ht="15" x14ac:dyDescent="0.25">
      <c r="A54" s="822"/>
      <c r="B54" s="823"/>
      <c r="C54" s="824"/>
      <c r="D54" s="824"/>
      <c r="E54" s="824"/>
      <c r="F54" s="824"/>
    </row>
    <row r="55" spans="1:6" ht="15" x14ac:dyDescent="0.25">
      <c r="A55" s="829"/>
      <c r="B55" s="692"/>
      <c r="C55" s="610"/>
      <c r="D55" s="610"/>
      <c r="E55" s="610"/>
      <c r="F55" s="610"/>
    </row>
    <row r="56" spans="1:6" ht="15" x14ac:dyDescent="0.25">
      <c r="A56" s="830"/>
      <c r="B56" s="831" t="s">
        <v>433</v>
      </c>
      <c r="C56" s="832" t="e">
        <f t="shared" ref="C56:E56" si="8">C53+C40+C30+C5+C34</f>
        <v>#N/A</v>
      </c>
      <c r="D56" s="832" t="e">
        <f t="shared" si="8"/>
        <v>#N/A</v>
      </c>
      <c r="E56" s="832" t="e">
        <f t="shared" si="8"/>
        <v>#N/A</v>
      </c>
      <c r="F56" s="832" t="e">
        <f>F53+F40+F30+F5+F34</f>
        <v>#N/A</v>
      </c>
    </row>
    <row r="58" spans="1:6" x14ac:dyDescent="0.2">
      <c r="C58" s="812">
        <f>'טבלה מעודכנת '!B10</f>
        <v>3206</v>
      </c>
      <c r="D58" s="812">
        <f>'טבלה מעודכנת '!C10</f>
        <v>1859.2139999999999</v>
      </c>
      <c r="E58" s="812">
        <f>'טבלה מעודכנת '!F10</f>
        <v>3206</v>
      </c>
      <c r="F58" s="812">
        <f>'טבלה מעודכנת '!I10</f>
        <v>0</v>
      </c>
    </row>
    <row r="59" spans="1:6" x14ac:dyDescent="0.2">
      <c r="C59" s="812" t="e">
        <f>C56/1000-C58</f>
        <v>#N/A</v>
      </c>
      <c r="D59" s="812" t="e">
        <f t="shared" ref="D59:E59" si="9">D56/1000-D58</f>
        <v>#N/A</v>
      </c>
      <c r="E59" s="812" t="e">
        <f t="shared" si="9"/>
        <v>#N/A</v>
      </c>
      <c r="F59" s="812" t="e">
        <f>F56/1000-F58</f>
        <v>#N/A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עוספיהפירוט עצמיות אחר</oddHeader>
    <oddFooter>&amp;C&amp;"David,מודגש"&amp;11עמוד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rightToLeft="1" view="pageLayout" workbookViewId="0">
      <selection activeCell="E15" sqref="E15"/>
    </sheetView>
  </sheetViews>
  <sheetFormatPr defaultColWidth="9.140625" defaultRowHeight="12.75" x14ac:dyDescent="0.2"/>
  <cols>
    <col min="1" max="1" width="11.7109375" style="811" customWidth="1"/>
    <col min="2" max="2" width="35.42578125" style="833" customWidth="1"/>
    <col min="3" max="3" width="10.85546875" style="812" customWidth="1"/>
    <col min="4" max="4" width="10.85546875" style="812" hidden="1" customWidth="1"/>
    <col min="5" max="5" width="10.85546875" style="812" customWidth="1"/>
    <col min="6" max="6" width="13.7109375" style="812" customWidth="1"/>
    <col min="7" max="7" width="7.5703125" style="493" customWidth="1"/>
    <col min="8" max="16384" width="9.140625" style="493"/>
  </cols>
  <sheetData>
    <row r="1" spans="1:6" ht="30" x14ac:dyDescent="0.2">
      <c r="A1" s="818" t="s">
        <v>539</v>
      </c>
      <c r="B1" s="818" t="s">
        <v>1147</v>
      </c>
      <c r="C1" s="819" t="s">
        <v>541</v>
      </c>
      <c r="D1" s="819" t="s">
        <v>65</v>
      </c>
      <c r="E1" s="819" t="s">
        <v>1148</v>
      </c>
      <c r="F1" s="819" t="s">
        <v>1148</v>
      </c>
    </row>
    <row r="2" spans="1:6" s="509" customFormat="1" ht="15" x14ac:dyDescent="0.2">
      <c r="A2" s="820" t="s">
        <v>1149</v>
      </c>
      <c r="B2" s="821" t="s">
        <v>544</v>
      </c>
      <c r="C2" s="819" t="s">
        <v>545</v>
      </c>
      <c r="D2" s="819" t="s">
        <v>546</v>
      </c>
      <c r="E2" s="819" t="s">
        <v>547</v>
      </c>
      <c r="F2" s="819" t="s">
        <v>548</v>
      </c>
    </row>
    <row r="3" spans="1:6" ht="15" x14ac:dyDescent="0.25">
      <c r="A3" s="685">
        <v>233100.99</v>
      </c>
      <c r="B3" s="603" t="s">
        <v>1693</v>
      </c>
      <c r="C3" s="610">
        <f>VLOOKUP(A3,'הכנסות '!$B$3:$K$273,3,FALSE)</f>
        <v>2066030</v>
      </c>
      <c r="D3" s="610">
        <v>42500</v>
      </c>
      <c r="E3" s="610">
        <v>0</v>
      </c>
      <c r="F3" s="610">
        <v>0</v>
      </c>
    </row>
    <row r="4" spans="1:6" s="407" customFormat="1" ht="15" x14ac:dyDescent="0.25">
      <c r="A4" s="834" t="s">
        <v>1174</v>
      </c>
      <c r="B4" s="835" t="s">
        <v>1175</v>
      </c>
      <c r="C4" s="680">
        <f>SUM(C3:C3)</f>
        <v>2066030</v>
      </c>
      <c r="D4" s="836">
        <f>SUM(D3:D3)</f>
        <v>42500</v>
      </c>
      <c r="E4" s="680">
        <f>SUM(E3:E3)</f>
        <v>0</v>
      </c>
      <c r="F4" s="680">
        <f>SUM(F3:F3)</f>
        <v>0</v>
      </c>
    </row>
    <row r="5" spans="1:6" ht="15" x14ac:dyDescent="0.25">
      <c r="A5" s="685"/>
      <c r="B5" s="679"/>
      <c r="C5" s="610"/>
      <c r="D5" s="610"/>
      <c r="E5" s="610"/>
      <c r="F5" s="610"/>
    </row>
    <row r="6" spans="1:6" ht="15" x14ac:dyDescent="0.25">
      <c r="A6" s="685">
        <v>244000.99</v>
      </c>
      <c r="B6" s="679" t="s">
        <v>1177</v>
      </c>
      <c r="C6" s="610">
        <f>VLOOKUP(A6,'הכנסות '!$B$3:$K$273,3,FALSE)</f>
        <v>54500</v>
      </c>
      <c r="D6" s="610">
        <v>21500</v>
      </c>
      <c r="E6" s="610">
        <v>64500</v>
      </c>
      <c r="F6" s="610">
        <v>64500</v>
      </c>
    </row>
    <row r="7" spans="1:6" s="407" customFormat="1" ht="15" x14ac:dyDescent="0.25">
      <c r="A7" s="834" t="s">
        <v>1178</v>
      </c>
      <c r="B7" s="835" t="s">
        <v>652</v>
      </c>
      <c r="C7" s="680">
        <f>SUM(C5:C6)</f>
        <v>54500</v>
      </c>
      <c r="D7" s="680">
        <f>SUM(D5:D6)</f>
        <v>21500</v>
      </c>
      <c r="E7" s="680">
        <f>SUM(E5:E6)</f>
        <v>64500</v>
      </c>
      <c r="F7" s="680">
        <f>SUM(F5:F6)</f>
        <v>64500</v>
      </c>
    </row>
    <row r="8" spans="1:6" s="407" customFormat="1" ht="15" x14ac:dyDescent="0.25">
      <c r="A8" s="685"/>
      <c r="B8" s="679"/>
      <c r="C8" s="610"/>
      <c r="D8" s="610"/>
      <c r="E8" s="610"/>
      <c r="F8" s="610"/>
    </row>
    <row r="9" spans="1:6" s="407" customFormat="1" ht="15" x14ac:dyDescent="0.25">
      <c r="A9" s="685"/>
      <c r="B9" s="837"/>
      <c r="C9" s="610"/>
      <c r="D9" s="610"/>
      <c r="E9" s="610"/>
      <c r="F9" s="610"/>
    </row>
    <row r="10" spans="1:6" ht="15" x14ac:dyDescent="0.25">
      <c r="A10" s="825">
        <v>322000.96999999997</v>
      </c>
      <c r="B10" s="692" t="s">
        <v>1247</v>
      </c>
      <c r="C10" s="610">
        <f>VLOOKUP(A10,'הכנסות '!$B$3:$K$273,3,FALSE)</f>
        <v>115000</v>
      </c>
      <c r="D10" s="610">
        <v>0</v>
      </c>
      <c r="E10" s="610">
        <f>92000+80000</f>
        <v>172000</v>
      </c>
      <c r="F10" s="610">
        <f>92000+80000</f>
        <v>172000</v>
      </c>
    </row>
    <row r="11" spans="1:6" ht="15" x14ac:dyDescent="0.25">
      <c r="A11" s="685">
        <v>328200.96999999997</v>
      </c>
      <c r="B11" s="679" t="s">
        <v>1248</v>
      </c>
      <c r="C11" s="610">
        <f>VLOOKUP(A11,'הכנסות '!$B$3:$K$273,3,FALSE)</f>
        <v>160676.80000000002</v>
      </c>
      <c r="D11" s="610">
        <v>69788</v>
      </c>
      <c r="E11" s="610">
        <f>('[2]הוצאות '!F234+'[2]הוצאות '!F235-70000)*0.8</f>
        <v>206148</v>
      </c>
      <c r="F11" s="610">
        <f>('[2]הוצאות '!G234+'[2]הוצאות '!G235-70000)*0.8</f>
        <v>206148</v>
      </c>
    </row>
    <row r="12" spans="1:6" ht="15" x14ac:dyDescent="0.25">
      <c r="A12" s="685">
        <v>328300.96999999997</v>
      </c>
      <c r="B12" s="679" t="s">
        <v>772</v>
      </c>
      <c r="C12" s="610" t="e">
        <f>VLOOKUP(A12,'הכנסות '!$B$3:$K$273,3,FALSE)</f>
        <v>#N/A</v>
      </c>
      <c r="D12" s="610">
        <v>20000</v>
      </c>
      <c r="E12" s="610">
        <v>90000</v>
      </c>
      <c r="F12" s="610">
        <v>90000</v>
      </c>
    </row>
    <row r="13" spans="1:6" s="407" customFormat="1" ht="15" x14ac:dyDescent="0.25">
      <c r="A13" s="685"/>
      <c r="B13" s="835" t="s">
        <v>1250</v>
      </c>
      <c r="C13" s="680" t="e">
        <f>SUM(C10:C12)</f>
        <v>#N/A</v>
      </c>
      <c r="D13" s="680">
        <f>SUM(D10:D12)</f>
        <v>89788</v>
      </c>
      <c r="E13" s="680">
        <f>SUM(E10:E12)</f>
        <v>468148</v>
      </c>
      <c r="F13" s="680">
        <f>SUM(F10:F12)</f>
        <v>468148</v>
      </c>
    </row>
    <row r="14" spans="1:6" ht="15" x14ac:dyDescent="0.25">
      <c r="A14" s="685"/>
      <c r="B14" s="692"/>
      <c r="C14" s="610"/>
      <c r="D14" s="610"/>
      <c r="E14" s="610"/>
      <c r="F14" s="610"/>
    </row>
    <row r="15" spans="1:6" ht="15" x14ac:dyDescent="0.25">
      <c r="A15" s="825">
        <v>329300.94</v>
      </c>
      <c r="B15" s="692" t="s">
        <v>1252</v>
      </c>
      <c r="C15" s="610">
        <f>VLOOKUP(A15,'הכנסות '!$B$3:$K$273,3,FALSE)</f>
        <v>110000</v>
      </c>
      <c r="D15" s="610">
        <v>30000</v>
      </c>
      <c r="E15" s="610">
        <f>81683+45000</f>
        <v>126683</v>
      </c>
      <c r="F15" s="610">
        <f>81683+45000</f>
        <v>126683</v>
      </c>
    </row>
    <row r="16" spans="1:6" s="407" customFormat="1" ht="15" x14ac:dyDescent="0.25">
      <c r="A16" s="685"/>
      <c r="B16" s="835" t="s">
        <v>778</v>
      </c>
      <c r="C16" s="680">
        <f>SUM(C15:C15)</f>
        <v>110000</v>
      </c>
      <c r="D16" s="680">
        <f>SUM(D15:D15)</f>
        <v>30000</v>
      </c>
      <c r="E16" s="680">
        <f>SUM(E15:E15)</f>
        <v>126683</v>
      </c>
      <c r="F16" s="680">
        <f>SUM(F15:F15)</f>
        <v>126683</v>
      </c>
    </row>
    <row r="17" spans="1:6" ht="15" x14ac:dyDescent="0.25">
      <c r="A17" s="685"/>
      <c r="B17" s="692"/>
      <c r="C17" s="610"/>
      <c r="D17" s="610"/>
      <c r="E17" s="610"/>
      <c r="F17" s="610"/>
    </row>
    <row r="18" spans="1:6" s="378" customFormat="1" ht="15" x14ac:dyDescent="0.2">
      <c r="A18" s="838" t="s">
        <v>1253</v>
      </c>
      <c r="B18" s="839" t="s">
        <v>1254</v>
      </c>
      <c r="C18" s="483" t="e">
        <f>SUM(C16+C13)</f>
        <v>#N/A</v>
      </c>
      <c r="D18" s="483">
        <f>SUM(D16+D13)</f>
        <v>119788</v>
      </c>
      <c r="E18" s="483">
        <f>SUM(E16+E13)</f>
        <v>594831</v>
      </c>
      <c r="F18" s="483">
        <f>SUM(F16+F13)</f>
        <v>594831</v>
      </c>
    </row>
    <row r="19" spans="1:6" ht="15" x14ac:dyDescent="0.25">
      <c r="A19" s="685"/>
      <c r="B19" s="692"/>
      <c r="C19" s="610"/>
      <c r="D19" s="610"/>
      <c r="E19" s="610"/>
      <c r="F19" s="610"/>
    </row>
    <row r="20" spans="1:6" ht="15" x14ac:dyDescent="0.25">
      <c r="A20" s="685">
        <v>379000.99</v>
      </c>
      <c r="B20" s="679" t="s">
        <v>1307</v>
      </c>
      <c r="C20" s="610">
        <f>VLOOKUP(A20,'הכנסות '!$B$3:$K$273,3,FALSE)</f>
        <v>15000</v>
      </c>
      <c r="D20" s="610">
        <v>14829</v>
      </c>
      <c r="E20" s="610">
        <v>0</v>
      </c>
      <c r="F20" s="610">
        <v>0</v>
      </c>
    </row>
    <row r="21" spans="1:6" ht="15" x14ac:dyDescent="0.25">
      <c r="A21" s="830"/>
      <c r="B21" s="831" t="s">
        <v>433</v>
      </c>
      <c r="C21" s="832" t="e">
        <f>C18+C7+C4+C20</f>
        <v>#N/A</v>
      </c>
      <c r="D21" s="832">
        <f t="shared" ref="D21:F21" si="0">D18+D7+D4+D20</f>
        <v>198617</v>
      </c>
      <c r="E21" s="832">
        <f t="shared" si="0"/>
        <v>659331</v>
      </c>
      <c r="F21" s="832">
        <f t="shared" si="0"/>
        <v>659331</v>
      </c>
    </row>
    <row r="23" spans="1:6" x14ac:dyDescent="0.2">
      <c r="C23" s="812">
        <f>'טבלה מעודכנת '!B14</f>
        <v>821</v>
      </c>
      <c r="D23" s="812">
        <f>'טבלה מעודכנת '!C14</f>
        <v>2335.808</v>
      </c>
      <c r="E23" s="812">
        <f>'טבלה מעודכנת '!F14</f>
        <v>821</v>
      </c>
      <c r="F23" s="812">
        <f>'טבלה מעודכנת '!I14</f>
        <v>0</v>
      </c>
    </row>
    <row r="25" spans="1:6" x14ac:dyDescent="0.2">
      <c r="C25" s="812" t="e">
        <f>C21/1000-C23</f>
        <v>#N/A</v>
      </c>
      <c r="D25" s="812">
        <f t="shared" ref="D25:F25" si="1">D21/1000-D23</f>
        <v>-2137.1909999999998</v>
      </c>
      <c r="E25" s="812">
        <f t="shared" si="1"/>
        <v>-161.66899999999998</v>
      </c>
      <c r="F25" s="812">
        <f t="shared" si="1"/>
        <v>659.33100000000002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עוספיהפירוט תקבולים ממשלתיים אחרים</oddHeader>
    <oddFooter>&amp;C&amp;"David,מודגש"&amp;11עמוד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workbookViewId="0">
      <selection activeCell="E5" sqref="E5"/>
    </sheetView>
  </sheetViews>
  <sheetFormatPr defaultColWidth="9.140625" defaultRowHeight="12.75" x14ac:dyDescent="0.2"/>
  <cols>
    <col min="1" max="1" width="11.7109375" style="811" customWidth="1"/>
    <col min="2" max="2" width="35.42578125" style="833" customWidth="1"/>
    <col min="3" max="3" width="10.85546875" style="812" customWidth="1"/>
    <col min="4" max="4" width="10.85546875" style="812" hidden="1" customWidth="1"/>
    <col min="5" max="5" width="10.85546875" style="812" customWidth="1"/>
    <col min="6" max="6" width="13.7109375" style="812" customWidth="1"/>
    <col min="7" max="7" width="7.5703125" style="493" customWidth="1"/>
    <col min="8" max="16384" width="9.140625" style="493"/>
  </cols>
  <sheetData>
    <row r="1" spans="1:6" ht="30" x14ac:dyDescent="0.2">
      <c r="A1" s="818" t="s">
        <v>539</v>
      </c>
      <c r="B1" s="818" t="s">
        <v>1147</v>
      </c>
      <c r="C1" s="819" t="s">
        <v>541</v>
      </c>
      <c r="D1" s="819" t="s">
        <v>65</v>
      </c>
      <c r="E1" s="819" t="s">
        <v>1148</v>
      </c>
      <c r="F1" s="819" t="s">
        <v>1148</v>
      </c>
    </row>
    <row r="2" spans="1:6" s="509" customFormat="1" ht="15" x14ac:dyDescent="0.2">
      <c r="A2" s="820" t="s">
        <v>1149</v>
      </c>
      <c r="B2" s="821" t="s">
        <v>544</v>
      </c>
      <c r="C2" s="819" t="s">
        <v>545</v>
      </c>
      <c r="D2" s="819" t="s">
        <v>546</v>
      </c>
      <c r="E2" s="819" t="s">
        <v>547</v>
      </c>
      <c r="F2" s="819" t="s">
        <v>548</v>
      </c>
    </row>
    <row r="3" spans="1:6" ht="15" x14ac:dyDescent="0.25">
      <c r="A3" s="822"/>
      <c r="B3" s="823"/>
      <c r="C3" s="824"/>
      <c r="D3" s="824"/>
      <c r="E3" s="824"/>
      <c r="F3" s="824"/>
    </row>
    <row r="4" spans="1:6" s="407" customFormat="1" ht="15" x14ac:dyDescent="0.25">
      <c r="A4" s="825">
        <v>511000.9</v>
      </c>
      <c r="B4" s="692" t="s">
        <v>1318</v>
      </c>
      <c r="C4" s="610">
        <v>1000</v>
      </c>
      <c r="D4" s="610">
        <v>0</v>
      </c>
      <c r="E4" s="610">
        <v>0</v>
      </c>
      <c r="F4" s="610">
        <v>0</v>
      </c>
    </row>
    <row r="5" spans="1:6" ht="15" x14ac:dyDescent="0.25">
      <c r="A5" s="701">
        <v>513000.69</v>
      </c>
      <c r="B5" s="692" t="s">
        <v>1319</v>
      </c>
      <c r="C5" s="610">
        <v>500000</v>
      </c>
      <c r="D5" s="610">
        <v>338224</v>
      </c>
      <c r="E5" s="610">
        <v>300000</v>
      </c>
      <c r="F5" s="610">
        <v>300000</v>
      </c>
    </row>
    <row r="6" spans="1:6" ht="15" x14ac:dyDescent="0.25">
      <c r="A6" s="701">
        <v>513100.9</v>
      </c>
      <c r="B6" s="692" t="s">
        <v>1320</v>
      </c>
      <c r="C6" s="610">
        <v>11673</v>
      </c>
      <c r="D6" s="610">
        <v>9207</v>
      </c>
      <c r="E6" s="610">
        <v>12000</v>
      </c>
      <c r="F6" s="610">
        <v>12000</v>
      </c>
    </row>
    <row r="7" spans="1:6" ht="15" x14ac:dyDescent="0.25">
      <c r="A7" s="701">
        <v>599300.92000000004</v>
      </c>
      <c r="B7" s="692" t="s">
        <v>1322</v>
      </c>
      <c r="C7" s="610">
        <v>7701884</v>
      </c>
      <c r="D7" s="610">
        <v>7701884</v>
      </c>
      <c r="E7" s="610">
        <v>0</v>
      </c>
      <c r="F7" s="610">
        <v>0</v>
      </c>
    </row>
    <row r="8" spans="1:6" s="413" customFormat="1" ht="15" x14ac:dyDescent="0.2">
      <c r="A8" s="826" t="s">
        <v>1323</v>
      </c>
      <c r="B8" s="827" t="s">
        <v>143</v>
      </c>
      <c r="C8" s="828">
        <f>SUM(C4:C7)</f>
        <v>8214557</v>
      </c>
      <c r="D8" s="828">
        <f>SUM(D4:D7)</f>
        <v>8049315</v>
      </c>
      <c r="E8" s="828">
        <f>SUM(E4:E7)</f>
        <v>312000</v>
      </c>
      <c r="F8" s="828">
        <f>SUM(F4:F7)</f>
        <v>312000</v>
      </c>
    </row>
    <row r="9" spans="1:6" ht="15" x14ac:dyDescent="0.25">
      <c r="A9" s="829"/>
      <c r="B9" s="692"/>
      <c r="C9" s="610"/>
      <c r="D9" s="610"/>
      <c r="E9" s="610"/>
      <c r="F9" s="610"/>
    </row>
    <row r="10" spans="1:6" ht="15" x14ac:dyDescent="0.25">
      <c r="A10" s="830"/>
      <c r="B10" s="831" t="s">
        <v>433</v>
      </c>
      <c r="C10" s="832">
        <f>C8</f>
        <v>8214557</v>
      </c>
      <c r="D10" s="832">
        <f t="shared" ref="D10:F10" si="0">D8</f>
        <v>8049315</v>
      </c>
      <c r="E10" s="832">
        <f t="shared" si="0"/>
        <v>312000</v>
      </c>
      <c r="F10" s="832">
        <f t="shared" si="0"/>
        <v>312000</v>
      </c>
    </row>
    <row r="12" spans="1:6" x14ac:dyDescent="0.2">
      <c r="C12" s="812">
        <f>'טבלה מעודכנת '!B20</f>
        <v>300</v>
      </c>
      <c r="D12" s="812">
        <f>'טבלה מעודכנת '!C20</f>
        <v>8092.8130000000001</v>
      </c>
      <c r="E12" s="812">
        <f>'טבלה מעודכנת '!F20</f>
        <v>300</v>
      </c>
      <c r="F12" s="812">
        <f>'טבלה מעודכנת '!I20</f>
        <v>0</v>
      </c>
    </row>
    <row r="14" spans="1:6" x14ac:dyDescent="0.2">
      <c r="C14" s="812">
        <f>C12-C10/1000</f>
        <v>-7914.5570000000007</v>
      </c>
      <c r="D14" s="812">
        <f t="shared" ref="D14:F14" si="1">D12-D10/1000</f>
        <v>43.498000000000502</v>
      </c>
      <c r="E14" s="812">
        <f t="shared" si="1"/>
        <v>-12</v>
      </c>
      <c r="F14" s="812">
        <f t="shared" si="1"/>
        <v>-312</v>
      </c>
    </row>
  </sheetData>
  <pageMargins left="0.25" right="0.25" top="0.75" bottom="0.75" header="0.3" footer="0.3"/>
  <pageSetup paperSize="9" orientation="portrait" r:id="rId1"/>
  <headerFooter>
    <oddHeader>&amp;C&amp;"David,מודגש"&amp;12&amp;Uמועצה מקומית עוספיהפירוט הכנסות ח"פ</oddHeader>
    <oddFooter>&amp;C&amp;"David,מודגש"&amp;11עמוד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2"/>
  <sheetViews>
    <sheetView rightToLeft="1" topLeftCell="A106" workbookViewId="0">
      <selection activeCell="A21" sqref="A18:K22"/>
    </sheetView>
  </sheetViews>
  <sheetFormatPr defaultRowHeight="18" outlineLevelRow="2" x14ac:dyDescent="0.25"/>
  <cols>
    <col min="1" max="1" width="4" customWidth="1"/>
    <col min="2" max="2" width="17.140625" style="942" bestFit="1" customWidth="1"/>
    <col min="3" max="3" width="31.140625" bestFit="1" customWidth="1"/>
    <col min="4" max="4" width="15.140625" style="930" hidden="1" customWidth="1"/>
    <col min="5" max="6" width="15.140625" style="930" bestFit="1" customWidth="1"/>
    <col min="7" max="7" width="13.5703125" style="930" bestFit="1" customWidth="1"/>
    <col min="8" max="8" width="15" style="930" bestFit="1" customWidth="1"/>
  </cols>
  <sheetData>
    <row r="1" spans="1:8" x14ac:dyDescent="0.25">
      <c r="A1" t="s">
        <v>1853</v>
      </c>
      <c r="B1" s="942" t="s">
        <v>1854</v>
      </c>
      <c r="C1" t="s">
        <v>1855</v>
      </c>
      <c r="D1" s="930" t="s">
        <v>1856</v>
      </c>
      <c r="E1" s="930" t="s">
        <v>1857</v>
      </c>
      <c r="F1" s="930" t="s">
        <v>1858</v>
      </c>
      <c r="G1" s="930" t="s">
        <v>1859</v>
      </c>
      <c r="H1" s="930" t="s">
        <v>1860</v>
      </c>
    </row>
    <row r="2" spans="1:8" x14ac:dyDescent="0.25">
      <c r="A2">
        <v>1</v>
      </c>
      <c r="B2" s="942">
        <v>1111100100</v>
      </c>
      <c r="C2" t="s">
        <v>1150</v>
      </c>
      <c r="D2" s="930">
        <v>-13360750</v>
      </c>
      <c r="E2" s="930">
        <v>-6677700</v>
      </c>
      <c r="F2" s="930">
        <v>-5864712.1799999997</v>
      </c>
      <c r="G2" s="930">
        <v>-228692</v>
      </c>
      <c r="H2" s="930">
        <f>F2+G2</f>
        <v>-6093404.1799999997</v>
      </c>
    </row>
    <row r="3" spans="1:8" x14ac:dyDescent="0.25">
      <c r="A3">
        <v>1</v>
      </c>
      <c r="B3" s="942">
        <v>1111200100</v>
      </c>
      <c r="C3" t="s">
        <v>1151</v>
      </c>
      <c r="D3" s="930">
        <v>-3000000</v>
      </c>
      <c r="E3" s="930">
        <v>-1499400</v>
      </c>
      <c r="F3" s="930">
        <v>-1280590.18</v>
      </c>
      <c r="G3" s="930">
        <f>-367209+57000</f>
        <v>-310209</v>
      </c>
      <c r="H3" s="930">
        <f>F3+G3</f>
        <v>-1590799.18</v>
      </c>
    </row>
    <row r="4" spans="1:8" x14ac:dyDescent="0.25">
      <c r="A4">
        <v>1</v>
      </c>
      <c r="B4" s="942">
        <v>1111310100</v>
      </c>
      <c r="C4" t="s">
        <v>1861</v>
      </c>
      <c r="D4" s="930">
        <v>0</v>
      </c>
      <c r="E4" s="930">
        <v>0</v>
      </c>
      <c r="F4" s="930">
        <v>0</v>
      </c>
      <c r="G4" s="930">
        <v>0</v>
      </c>
      <c r="H4" s="930">
        <f>F4+G4</f>
        <v>0</v>
      </c>
    </row>
    <row r="5" spans="1:8" x14ac:dyDescent="0.25">
      <c r="A5" s="943" t="s">
        <v>1862</v>
      </c>
      <c r="C5" s="944" t="s">
        <v>1863</v>
      </c>
      <c r="D5" s="930">
        <f>SUBTOTAL(9,D2:D4)</f>
        <v>-16360750</v>
      </c>
      <c r="E5" s="930">
        <f>SUBTOTAL(9,E2:E4)</f>
        <v>-8177100</v>
      </c>
      <c r="F5" s="930">
        <f>SUBTOTAL(9,F2:F4)</f>
        <v>-7145302.3599999994</v>
      </c>
      <c r="G5" s="930">
        <f>SUBTOTAL(9,G2:G4)</f>
        <v>-538901</v>
      </c>
      <c r="H5" s="930">
        <f>SUBTOTAL(9,H2:H4)</f>
        <v>-7684203.3599999994</v>
      </c>
    </row>
    <row r="6" spans="1:8" x14ac:dyDescent="0.25">
      <c r="A6">
        <v>2</v>
      </c>
      <c r="B6" s="942">
        <v>1413100210</v>
      </c>
      <c r="C6" t="s">
        <v>1864</v>
      </c>
      <c r="D6" s="930">
        <v>-1300000</v>
      </c>
      <c r="E6" s="930">
        <v>-649740</v>
      </c>
      <c r="F6" s="930">
        <v>-1450307.49</v>
      </c>
      <c r="G6" s="930">
        <v>-13332</v>
      </c>
      <c r="H6" s="930">
        <f>F6+G6</f>
        <v>-1463639.49</v>
      </c>
    </row>
    <row r="7" spans="1:8" x14ac:dyDescent="0.25">
      <c r="A7">
        <v>2</v>
      </c>
      <c r="B7" s="942">
        <v>1413110210</v>
      </c>
      <c r="C7" t="s">
        <v>1865</v>
      </c>
      <c r="D7" s="930">
        <v>0</v>
      </c>
      <c r="E7" s="930">
        <v>0</v>
      </c>
      <c r="F7" s="930">
        <v>0</v>
      </c>
      <c r="G7" s="930">
        <v>0</v>
      </c>
      <c r="H7" s="930">
        <f>F7+G7</f>
        <v>0</v>
      </c>
    </row>
    <row r="8" spans="1:8" x14ac:dyDescent="0.25">
      <c r="A8">
        <v>2</v>
      </c>
      <c r="B8" s="942">
        <v>1413200210</v>
      </c>
      <c r="C8" t="s">
        <v>1311</v>
      </c>
      <c r="D8" s="930">
        <v>-800000</v>
      </c>
      <c r="E8" s="930">
        <v>-399840</v>
      </c>
      <c r="F8" s="930">
        <v>-677801.73</v>
      </c>
      <c r="G8" s="930">
        <v>-392379</v>
      </c>
      <c r="H8" s="930">
        <f>F8+G8</f>
        <v>-1070180.73</v>
      </c>
    </row>
    <row r="9" spans="1:8" x14ac:dyDescent="0.25">
      <c r="A9" s="945" t="s">
        <v>1866</v>
      </c>
      <c r="C9" s="944" t="s">
        <v>138</v>
      </c>
      <c r="D9" s="930">
        <f>SUBTOTAL(9,D6:D8)</f>
        <v>-2100000</v>
      </c>
      <c r="E9" s="930">
        <f>SUBTOTAL(9,E6:E8)</f>
        <v>-1049580</v>
      </c>
      <c r="F9" s="930">
        <f>SUBTOTAL(9,F6:F8)</f>
        <v>-2128109.2199999997</v>
      </c>
      <c r="G9" s="930">
        <f>SUBTOTAL(9,G6:G8)</f>
        <v>-405711</v>
      </c>
      <c r="H9" s="930">
        <f>SUBTOTAL(9,H6:H8)</f>
        <v>-2533820.2199999997</v>
      </c>
    </row>
    <row r="10" spans="1:8" x14ac:dyDescent="0.25">
      <c r="A10">
        <v>3</v>
      </c>
      <c r="B10" s="942">
        <v>1312100420</v>
      </c>
      <c r="C10" t="s">
        <v>1867</v>
      </c>
      <c r="D10" s="930">
        <v>-35000</v>
      </c>
      <c r="E10" s="930">
        <v>-17496</v>
      </c>
      <c r="F10" s="930">
        <v>-7798</v>
      </c>
      <c r="G10" s="930">
        <v>0</v>
      </c>
      <c r="H10" s="930">
        <f t="shared" ref="H10:H17" si="0">F10+G10</f>
        <v>-7798</v>
      </c>
    </row>
    <row r="11" spans="1:8" x14ac:dyDescent="0.25">
      <c r="A11">
        <v>3</v>
      </c>
      <c r="B11" s="942">
        <v>1312200410</v>
      </c>
      <c r="C11" t="s">
        <v>1868</v>
      </c>
      <c r="D11" s="930">
        <v>0</v>
      </c>
      <c r="E11" s="930">
        <v>0</v>
      </c>
      <c r="F11" s="930">
        <v>0</v>
      </c>
      <c r="G11" s="930">
        <v>0</v>
      </c>
      <c r="H11" s="930">
        <f t="shared" si="0"/>
        <v>0</v>
      </c>
    </row>
    <row r="12" spans="1:8" x14ac:dyDescent="0.25">
      <c r="A12">
        <v>3</v>
      </c>
      <c r="B12" s="942">
        <v>1312300490</v>
      </c>
      <c r="C12" t="s">
        <v>1869</v>
      </c>
      <c r="D12" s="930">
        <v>-100000</v>
      </c>
      <c r="E12" s="930">
        <v>-49980</v>
      </c>
      <c r="F12" s="930">
        <v>-187070</v>
      </c>
      <c r="G12" s="930">
        <v>0</v>
      </c>
      <c r="H12" s="930">
        <f t="shared" si="0"/>
        <v>-187070</v>
      </c>
    </row>
    <row r="13" spans="1:8" x14ac:dyDescent="0.25">
      <c r="A13">
        <v>3</v>
      </c>
      <c r="B13" s="942">
        <v>1313150420</v>
      </c>
      <c r="C13" t="s">
        <v>1870</v>
      </c>
      <c r="D13" s="930">
        <v>-75000</v>
      </c>
      <c r="E13" s="930">
        <v>-37488</v>
      </c>
      <c r="F13" s="930">
        <v>7186.2</v>
      </c>
      <c r="G13" s="930">
        <v>0</v>
      </c>
      <c r="H13" s="930">
        <f t="shared" si="0"/>
        <v>7186.2</v>
      </c>
    </row>
    <row r="14" spans="1:8" x14ac:dyDescent="0.25">
      <c r="A14">
        <v>3</v>
      </c>
      <c r="B14" s="942">
        <v>1313206410</v>
      </c>
      <c r="C14" t="s">
        <v>271</v>
      </c>
      <c r="D14" s="930">
        <v>-5000</v>
      </c>
      <c r="E14" s="930">
        <v>-2502</v>
      </c>
      <c r="F14" s="930">
        <v>0</v>
      </c>
      <c r="G14" s="930">
        <v>0</v>
      </c>
      <c r="H14" s="930">
        <f t="shared" si="0"/>
        <v>0</v>
      </c>
    </row>
    <row r="15" spans="1:8" x14ac:dyDescent="0.25">
      <c r="A15">
        <v>3</v>
      </c>
      <c r="B15" s="942">
        <v>1313800420</v>
      </c>
      <c r="C15" t="s">
        <v>1871</v>
      </c>
      <c r="D15" s="930">
        <v>0</v>
      </c>
      <c r="E15" s="930">
        <v>0</v>
      </c>
      <c r="F15" s="930">
        <v>0</v>
      </c>
      <c r="G15" s="930">
        <v>0</v>
      </c>
      <c r="H15" s="930">
        <f t="shared" si="0"/>
        <v>0</v>
      </c>
    </row>
    <row r="16" spans="1:8" x14ac:dyDescent="0.25">
      <c r="A16">
        <v>3</v>
      </c>
      <c r="B16" s="942">
        <v>1317500420</v>
      </c>
      <c r="C16" t="s">
        <v>1872</v>
      </c>
      <c r="D16" s="930">
        <v>-35000</v>
      </c>
      <c r="E16" s="930">
        <v>-17496</v>
      </c>
      <c r="F16" s="930">
        <v>-34475</v>
      </c>
      <c r="G16" s="930">
        <v>0</v>
      </c>
      <c r="H16" s="930">
        <f t="shared" si="0"/>
        <v>-34475</v>
      </c>
    </row>
    <row r="17" spans="1:8" x14ac:dyDescent="0.25">
      <c r="A17">
        <v>3</v>
      </c>
      <c r="B17" s="942">
        <v>1317600490</v>
      </c>
      <c r="C17" t="s">
        <v>1873</v>
      </c>
      <c r="D17" s="930">
        <v>0</v>
      </c>
      <c r="E17" s="930">
        <v>0</v>
      </c>
      <c r="F17" s="930">
        <v>0</v>
      </c>
      <c r="G17" s="930">
        <v>0</v>
      </c>
      <c r="H17" s="930">
        <f t="shared" si="0"/>
        <v>0</v>
      </c>
    </row>
    <row r="18" spans="1:8" x14ac:dyDescent="0.25">
      <c r="A18" s="945" t="s">
        <v>1874</v>
      </c>
      <c r="C18" s="944" t="s">
        <v>23</v>
      </c>
      <c r="D18" s="930">
        <f>SUBTOTAL(9,D10:D17)</f>
        <v>-250000</v>
      </c>
      <c r="E18" s="930">
        <f>SUBTOTAL(9,E10:E17)</f>
        <v>-124962</v>
      </c>
      <c r="F18" s="930">
        <f>SUBTOTAL(9,F10:F17)</f>
        <v>-222156.79999999999</v>
      </c>
      <c r="G18" s="930">
        <f>SUBTOTAL(9,G10:G17)</f>
        <v>0</v>
      </c>
      <c r="H18" s="930">
        <f>SUBTOTAL(9,H10:H17)</f>
        <v>-222156.79999999999</v>
      </c>
    </row>
    <row r="19" spans="1:8" x14ac:dyDescent="0.25">
      <c r="A19">
        <v>5</v>
      </c>
      <c r="B19" s="942">
        <v>1121000290</v>
      </c>
      <c r="C19" t="s">
        <v>1156</v>
      </c>
      <c r="D19" s="930">
        <v>-7000</v>
      </c>
      <c r="E19" s="930">
        <v>-3498</v>
      </c>
      <c r="F19" s="930">
        <v>-7614</v>
      </c>
      <c r="G19" s="930">
        <v>0</v>
      </c>
      <c r="H19" s="930">
        <f t="shared" ref="H19:H46" si="1">F19+G19</f>
        <v>-7614</v>
      </c>
    </row>
    <row r="20" spans="1:8" x14ac:dyDescent="0.25">
      <c r="A20">
        <v>5</v>
      </c>
      <c r="B20" s="942">
        <v>1211000210</v>
      </c>
      <c r="C20" t="s">
        <v>989</v>
      </c>
      <c r="D20" s="930">
        <v>-10000</v>
      </c>
      <c r="E20" s="930">
        <v>-4998</v>
      </c>
      <c r="F20" s="930">
        <v>-2154</v>
      </c>
      <c r="G20" s="930">
        <v>0</v>
      </c>
      <c r="H20" s="930">
        <f t="shared" si="1"/>
        <v>-2154</v>
      </c>
    </row>
    <row r="21" spans="1:8" x14ac:dyDescent="0.25">
      <c r="A21">
        <v>5</v>
      </c>
      <c r="B21" s="942">
        <v>1212300290</v>
      </c>
      <c r="C21" t="s">
        <v>1164</v>
      </c>
      <c r="D21" s="930">
        <v>-10000</v>
      </c>
      <c r="E21" s="930">
        <v>-4998</v>
      </c>
      <c r="F21" s="930">
        <v>-10400</v>
      </c>
      <c r="G21" s="930">
        <v>0</v>
      </c>
      <c r="H21" s="930">
        <f t="shared" si="1"/>
        <v>-10400</v>
      </c>
    </row>
    <row r="22" spans="1:8" x14ac:dyDescent="0.25">
      <c r="A22">
        <v>5</v>
      </c>
      <c r="B22" s="942">
        <v>1212300690</v>
      </c>
      <c r="C22" t="s">
        <v>1875</v>
      </c>
      <c r="D22" s="930">
        <v>0</v>
      </c>
      <c r="E22" s="930">
        <v>0</v>
      </c>
      <c r="F22" s="930">
        <v>0</v>
      </c>
      <c r="G22" s="930">
        <v>0</v>
      </c>
      <c r="H22" s="930">
        <f t="shared" si="1"/>
        <v>0</v>
      </c>
    </row>
    <row r="23" spans="1:8" x14ac:dyDescent="0.25">
      <c r="A23">
        <v>5</v>
      </c>
      <c r="B23" s="942">
        <v>1213300290</v>
      </c>
      <c r="C23" t="s">
        <v>1165</v>
      </c>
      <c r="D23" s="930">
        <v>-100000</v>
      </c>
      <c r="E23" s="930">
        <v>-49980</v>
      </c>
      <c r="F23" s="930">
        <v>-22538.86</v>
      </c>
      <c r="G23" s="930">
        <v>0</v>
      </c>
      <c r="H23" s="930">
        <f t="shared" si="1"/>
        <v>-22538.86</v>
      </c>
    </row>
    <row r="24" spans="1:8" x14ac:dyDescent="0.25">
      <c r="A24">
        <v>5</v>
      </c>
      <c r="B24" s="942">
        <v>1214200210</v>
      </c>
      <c r="C24" t="s">
        <v>1876</v>
      </c>
      <c r="D24" s="930">
        <v>0</v>
      </c>
      <c r="E24" s="930">
        <v>0</v>
      </c>
      <c r="F24" s="930">
        <v>0</v>
      </c>
      <c r="G24" s="930">
        <v>0</v>
      </c>
      <c r="H24" s="930">
        <f t="shared" si="1"/>
        <v>0</v>
      </c>
    </row>
    <row r="25" spans="1:8" x14ac:dyDescent="0.25">
      <c r="A25">
        <v>5</v>
      </c>
      <c r="B25" s="942">
        <v>1214300220</v>
      </c>
      <c r="C25" t="s">
        <v>1877</v>
      </c>
      <c r="D25" s="930">
        <v>-13815</v>
      </c>
      <c r="E25" s="930">
        <v>-6906</v>
      </c>
      <c r="F25" s="930">
        <v>-10785</v>
      </c>
      <c r="G25" s="930">
        <v>0</v>
      </c>
      <c r="H25" s="930">
        <f t="shared" si="1"/>
        <v>-10785</v>
      </c>
    </row>
    <row r="26" spans="1:8" x14ac:dyDescent="0.25">
      <c r="A26">
        <v>5</v>
      </c>
      <c r="B26" s="942">
        <v>1233100710</v>
      </c>
      <c r="C26" t="s">
        <v>1169</v>
      </c>
      <c r="D26" s="930">
        <v>-220000</v>
      </c>
      <c r="E26" s="930">
        <v>-109956</v>
      </c>
      <c r="F26" s="930">
        <v>-188180.15</v>
      </c>
      <c r="G26" s="930">
        <f>-122107</f>
        <v>-122107</v>
      </c>
      <c r="H26" s="930">
        <f t="shared" si="1"/>
        <v>-310287.15000000002</v>
      </c>
    </row>
    <row r="27" spans="1:8" x14ac:dyDescent="0.25">
      <c r="A27">
        <v>5</v>
      </c>
      <c r="B27" s="942">
        <v>1233100720</v>
      </c>
      <c r="C27" t="s">
        <v>1170</v>
      </c>
      <c r="D27" s="930">
        <v>-20000</v>
      </c>
      <c r="E27" s="930">
        <v>-9996</v>
      </c>
      <c r="F27" s="930">
        <v>0</v>
      </c>
      <c r="G27" s="930">
        <v>0</v>
      </c>
      <c r="H27" s="930">
        <f t="shared" si="1"/>
        <v>0</v>
      </c>
    </row>
    <row r="28" spans="1:8" x14ac:dyDescent="0.25">
      <c r="A28">
        <v>5</v>
      </c>
      <c r="B28" s="942">
        <v>1233400710</v>
      </c>
      <c r="C28" t="s">
        <v>1878</v>
      </c>
      <c r="D28" s="930">
        <v>-1111000</v>
      </c>
      <c r="E28" s="930">
        <v>-555276</v>
      </c>
      <c r="F28" s="930">
        <v>0</v>
      </c>
      <c r="G28" s="930">
        <v>0</v>
      </c>
      <c r="H28" s="930">
        <f t="shared" si="1"/>
        <v>0</v>
      </c>
    </row>
    <row r="29" spans="1:8" x14ac:dyDescent="0.25">
      <c r="A29">
        <v>5</v>
      </c>
      <c r="B29" s="942">
        <v>1243000640</v>
      </c>
      <c r="C29" t="s">
        <v>1879</v>
      </c>
      <c r="D29" s="930">
        <v>-17000</v>
      </c>
      <c r="E29" s="930">
        <v>-8496</v>
      </c>
      <c r="F29" s="930">
        <v>-8900.9699999999993</v>
      </c>
      <c r="G29" s="930">
        <v>0</v>
      </c>
      <c r="H29" s="930">
        <f t="shared" si="1"/>
        <v>-8900.9699999999993</v>
      </c>
    </row>
    <row r="30" spans="1:8" x14ac:dyDescent="0.25">
      <c r="A30">
        <v>5</v>
      </c>
      <c r="B30" s="942">
        <v>1266000690</v>
      </c>
      <c r="C30" t="s">
        <v>1880</v>
      </c>
      <c r="D30" s="930">
        <v>0</v>
      </c>
      <c r="E30" s="930">
        <v>0</v>
      </c>
      <c r="F30" s="930">
        <v>0</v>
      </c>
      <c r="G30" s="930">
        <v>0</v>
      </c>
      <c r="H30" s="930">
        <f t="shared" si="1"/>
        <v>0</v>
      </c>
    </row>
    <row r="31" spans="1:8" x14ac:dyDescent="0.25">
      <c r="A31">
        <v>5</v>
      </c>
      <c r="B31" s="942">
        <v>1269000690</v>
      </c>
      <c r="C31" t="s">
        <v>1881</v>
      </c>
      <c r="D31" s="930">
        <v>-15000</v>
      </c>
      <c r="E31" s="930">
        <v>-7500</v>
      </c>
      <c r="F31" s="930">
        <v>-19502</v>
      </c>
      <c r="G31" s="930">
        <f>-3962-6568-1938</f>
        <v>-12468</v>
      </c>
      <c r="H31" s="930">
        <f t="shared" si="1"/>
        <v>-31970</v>
      </c>
    </row>
    <row r="32" spans="1:8" x14ac:dyDescent="0.25">
      <c r="A32">
        <v>5</v>
      </c>
      <c r="B32" s="942">
        <v>1269000790</v>
      </c>
      <c r="C32" t="s">
        <v>1882</v>
      </c>
      <c r="D32" s="930">
        <v>-32000</v>
      </c>
      <c r="E32" s="930">
        <v>-15996</v>
      </c>
      <c r="F32" s="930">
        <v>-55900</v>
      </c>
      <c r="G32" s="930">
        <v>0</v>
      </c>
      <c r="H32" s="930">
        <f t="shared" si="1"/>
        <v>-55900</v>
      </c>
    </row>
    <row r="33" spans="1:8" x14ac:dyDescent="0.25">
      <c r="A33">
        <v>5</v>
      </c>
      <c r="B33" s="942">
        <v>1269100690</v>
      </c>
      <c r="C33" t="s">
        <v>1181</v>
      </c>
      <c r="D33" s="930">
        <v>-257500</v>
      </c>
      <c r="E33" s="930">
        <v>-128700</v>
      </c>
      <c r="F33" s="930">
        <v>-16007.9</v>
      </c>
      <c r="G33" s="930">
        <v>-57000</v>
      </c>
      <c r="H33" s="930">
        <f t="shared" si="1"/>
        <v>-73007.899999999994</v>
      </c>
    </row>
    <row r="34" spans="1:8" x14ac:dyDescent="0.25">
      <c r="A34">
        <v>5</v>
      </c>
      <c r="B34" s="942">
        <v>1269110690</v>
      </c>
      <c r="C34" t="s">
        <v>1182</v>
      </c>
      <c r="D34" s="930">
        <v>-14500</v>
      </c>
      <c r="E34" s="930">
        <v>-7248</v>
      </c>
      <c r="F34" s="930">
        <v>-10148</v>
      </c>
      <c r="G34" s="930">
        <v>0</v>
      </c>
      <c r="H34" s="930">
        <f t="shared" si="1"/>
        <v>-10148</v>
      </c>
    </row>
    <row r="35" spans="1:8" x14ac:dyDescent="0.25">
      <c r="A35">
        <v>5</v>
      </c>
      <c r="B35" s="942">
        <v>1269120690</v>
      </c>
      <c r="C35" t="s">
        <v>1883</v>
      </c>
      <c r="D35" s="930">
        <v>-28000</v>
      </c>
      <c r="E35" s="930">
        <v>-13992</v>
      </c>
      <c r="F35" s="930">
        <v>-12852.85</v>
      </c>
      <c r="G35" s="930">
        <v>0</v>
      </c>
      <c r="H35" s="930">
        <f t="shared" si="1"/>
        <v>-12852.85</v>
      </c>
    </row>
    <row r="36" spans="1:8" x14ac:dyDescent="0.25">
      <c r="A36">
        <v>5</v>
      </c>
      <c r="B36" s="942">
        <v>1325000420</v>
      </c>
      <c r="C36" t="s">
        <v>1884</v>
      </c>
      <c r="D36" s="930">
        <v>-10000</v>
      </c>
      <c r="E36" s="930">
        <v>-4998</v>
      </c>
      <c r="F36" s="930">
        <v>0</v>
      </c>
      <c r="G36" s="930">
        <v>0</v>
      </c>
      <c r="H36" s="930">
        <f t="shared" si="1"/>
        <v>0</v>
      </c>
    </row>
    <row r="37" spans="1:8" x14ac:dyDescent="0.25">
      <c r="A37">
        <v>5</v>
      </c>
      <c r="B37" s="942">
        <v>1328200420</v>
      </c>
      <c r="C37" t="s">
        <v>1885</v>
      </c>
      <c r="D37" s="930">
        <v>0</v>
      </c>
      <c r="E37" s="930">
        <v>0</v>
      </c>
      <c r="F37" s="930">
        <v>0</v>
      </c>
      <c r="G37" s="930">
        <v>0</v>
      </c>
      <c r="H37" s="930">
        <f t="shared" si="1"/>
        <v>0</v>
      </c>
    </row>
    <row r="38" spans="1:8" x14ac:dyDescent="0.25">
      <c r="A38">
        <v>5</v>
      </c>
      <c r="B38" s="942">
        <v>1328300420</v>
      </c>
      <c r="C38" t="s">
        <v>1886</v>
      </c>
      <c r="D38" s="930">
        <v>-10000</v>
      </c>
      <c r="E38" s="930">
        <v>-4998</v>
      </c>
      <c r="F38" s="930">
        <v>-23460</v>
      </c>
      <c r="G38" s="930">
        <v>0</v>
      </c>
      <c r="H38" s="930">
        <f t="shared" si="1"/>
        <v>-23460</v>
      </c>
    </row>
    <row r="39" spans="1:8" x14ac:dyDescent="0.25">
      <c r="A39">
        <v>5</v>
      </c>
      <c r="B39" s="942">
        <v>1329300420</v>
      </c>
      <c r="C39" t="s">
        <v>1887</v>
      </c>
      <c r="D39" s="930">
        <v>-55000</v>
      </c>
      <c r="E39" s="930">
        <v>-27492</v>
      </c>
      <c r="F39" s="930">
        <v>-10800</v>
      </c>
      <c r="G39" s="930">
        <v>0</v>
      </c>
      <c r="H39" s="930">
        <f t="shared" si="1"/>
        <v>-10800</v>
      </c>
    </row>
    <row r="40" spans="1:8" x14ac:dyDescent="0.25">
      <c r="A40">
        <v>5</v>
      </c>
      <c r="B40" s="942">
        <v>1413101210</v>
      </c>
      <c r="C40" t="s">
        <v>1888</v>
      </c>
      <c r="D40" s="930">
        <v>0</v>
      </c>
      <c r="E40" s="930">
        <v>0</v>
      </c>
      <c r="F40" s="930">
        <v>-1652.61</v>
      </c>
      <c r="G40" s="930">
        <v>-1240</v>
      </c>
      <c r="H40" s="930">
        <f t="shared" si="1"/>
        <v>-2892.6099999999997</v>
      </c>
    </row>
    <row r="41" spans="1:8" x14ac:dyDescent="0.25">
      <c r="A41">
        <v>5</v>
      </c>
      <c r="B41" s="942">
        <v>1413300810</v>
      </c>
      <c r="C41" t="s">
        <v>1889</v>
      </c>
      <c r="D41" s="930">
        <v>0</v>
      </c>
      <c r="E41" s="930">
        <v>0</v>
      </c>
      <c r="F41" s="930">
        <v>-345648.05</v>
      </c>
      <c r="G41" s="930">
        <v>0</v>
      </c>
      <c r="H41" s="930">
        <f t="shared" si="1"/>
        <v>-345648.05</v>
      </c>
    </row>
    <row r="42" spans="1:8" x14ac:dyDescent="0.25">
      <c r="A42">
        <v>5</v>
      </c>
      <c r="B42" s="942">
        <v>1413400810</v>
      </c>
      <c r="C42" t="s">
        <v>1890</v>
      </c>
      <c r="D42" s="930">
        <v>0</v>
      </c>
      <c r="E42" s="930">
        <v>0</v>
      </c>
      <c r="F42" s="930">
        <v>-33175</v>
      </c>
      <c r="G42" s="930">
        <v>-10717</v>
      </c>
      <c r="H42" s="930">
        <f t="shared" si="1"/>
        <v>-43892</v>
      </c>
    </row>
    <row r="43" spans="1:8" x14ac:dyDescent="0.25">
      <c r="A43">
        <v>5</v>
      </c>
      <c r="B43" s="942">
        <v>1472000210</v>
      </c>
      <c r="C43" t="s">
        <v>1891</v>
      </c>
      <c r="D43" s="930">
        <v>0</v>
      </c>
      <c r="E43" s="930">
        <v>0</v>
      </c>
      <c r="F43" s="930">
        <v>-4868.62</v>
      </c>
      <c r="G43" s="930">
        <v>-1042</v>
      </c>
      <c r="H43" s="930">
        <f t="shared" si="1"/>
        <v>-5910.62</v>
      </c>
    </row>
    <row r="44" spans="1:8" x14ac:dyDescent="0.25">
      <c r="A44">
        <v>5</v>
      </c>
      <c r="B44" s="942">
        <v>1472000220</v>
      </c>
      <c r="C44" t="s">
        <v>1892</v>
      </c>
      <c r="D44" s="930">
        <v>0</v>
      </c>
      <c r="E44" s="930">
        <v>0</v>
      </c>
      <c r="F44" s="930">
        <v>-10631.02</v>
      </c>
      <c r="G44" s="930">
        <v>-11115</v>
      </c>
      <c r="H44" s="930">
        <f t="shared" si="1"/>
        <v>-21746.02</v>
      </c>
    </row>
    <row r="45" spans="1:8" x14ac:dyDescent="0.25">
      <c r="A45">
        <v>5</v>
      </c>
      <c r="B45" s="942">
        <v>1472000310</v>
      </c>
      <c r="C45" t="s">
        <v>1316</v>
      </c>
      <c r="D45" s="930">
        <v>0</v>
      </c>
      <c r="E45" s="930">
        <v>0</v>
      </c>
      <c r="F45" s="930">
        <v>-30707.599999999999</v>
      </c>
      <c r="G45" s="930">
        <v>-1174</v>
      </c>
      <c r="H45" s="930">
        <f t="shared" si="1"/>
        <v>-31881.599999999999</v>
      </c>
    </row>
    <row r="46" spans="1:8" x14ac:dyDescent="0.25">
      <c r="A46">
        <v>5</v>
      </c>
      <c r="B46" s="942">
        <v>1511000900</v>
      </c>
      <c r="C46" t="s">
        <v>1893</v>
      </c>
      <c r="D46" s="930">
        <v>0</v>
      </c>
      <c r="E46" s="930">
        <v>0</v>
      </c>
      <c r="F46" s="930">
        <v>0</v>
      </c>
      <c r="G46" s="930">
        <v>0</v>
      </c>
      <c r="H46" s="930">
        <f t="shared" si="1"/>
        <v>0</v>
      </c>
    </row>
    <row r="47" spans="1:8" x14ac:dyDescent="0.25">
      <c r="A47" s="945" t="s">
        <v>1894</v>
      </c>
      <c r="C47" s="944" t="s">
        <v>1895</v>
      </c>
      <c r="D47" s="930">
        <f>SUBTOTAL(9,D19:D46)</f>
        <v>-1930815</v>
      </c>
      <c r="E47" s="930">
        <f>SUBTOTAL(9,E19:E46)</f>
        <v>-965028</v>
      </c>
      <c r="F47" s="930">
        <f>SUBTOTAL(9,F19:F46)</f>
        <v>-825926.62999999989</v>
      </c>
      <c r="G47" s="930">
        <f>SUBTOTAL(9,G19:G46)</f>
        <v>-216863</v>
      </c>
      <c r="H47" s="930">
        <f>SUBTOTAL(9,H19:H46)</f>
        <v>-1042789.6299999999</v>
      </c>
    </row>
    <row r="48" spans="1:8" x14ac:dyDescent="0.25">
      <c r="A48">
        <v>6</v>
      </c>
      <c r="B48" s="942">
        <v>1311000920</v>
      </c>
      <c r="C48" t="s">
        <v>1896</v>
      </c>
      <c r="D48" s="930">
        <v>-301650</v>
      </c>
      <c r="E48" s="930">
        <v>-150762</v>
      </c>
      <c r="F48" s="930">
        <v>0</v>
      </c>
      <c r="G48" s="930">
        <v>0</v>
      </c>
      <c r="H48" s="930">
        <f t="shared" ref="H48:H111" si="2">F48+G48</f>
        <v>0</v>
      </c>
    </row>
    <row r="49" spans="1:8" x14ac:dyDescent="0.25">
      <c r="A49">
        <v>6</v>
      </c>
      <c r="B49" s="942">
        <v>1311100920</v>
      </c>
      <c r="C49" t="s">
        <v>661</v>
      </c>
      <c r="D49" s="930">
        <v>-174685</v>
      </c>
      <c r="E49" s="930">
        <v>-87306</v>
      </c>
      <c r="F49" s="930">
        <v>0</v>
      </c>
      <c r="G49" s="930">
        <v>0</v>
      </c>
      <c r="H49" s="930">
        <f t="shared" si="2"/>
        <v>0</v>
      </c>
    </row>
    <row r="50" spans="1:8" x14ac:dyDescent="0.25">
      <c r="A50">
        <v>6</v>
      </c>
      <c r="B50" s="942">
        <v>1311131920</v>
      </c>
      <c r="C50" t="s">
        <v>1897</v>
      </c>
      <c r="D50" s="930">
        <v>0</v>
      </c>
      <c r="E50" s="930">
        <v>0</v>
      </c>
      <c r="F50" s="930">
        <v>0</v>
      </c>
      <c r="G50" s="930">
        <v>0</v>
      </c>
      <c r="H50" s="930">
        <f t="shared" si="2"/>
        <v>0</v>
      </c>
    </row>
    <row r="51" spans="1:8" x14ac:dyDescent="0.25">
      <c r="A51">
        <v>6</v>
      </c>
      <c r="B51" s="942">
        <v>1311200920</v>
      </c>
      <c r="C51" t="s">
        <v>1898</v>
      </c>
      <c r="D51" s="930">
        <v>-75000</v>
      </c>
      <c r="E51" s="930">
        <v>-37488</v>
      </c>
      <c r="F51" s="930">
        <v>0</v>
      </c>
      <c r="G51" s="930">
        <v>0</v>
      </c>
      <c r="H51" s="930">
        <f t="shared" si="2"/>
        <v>0</v>
      </c>
    </row>
    <row r="52" spans="1:8" x14ac:dyDescent="0.25">
      <c r="A52">
        <v>6</v>
      </c>
      <c r="B52" s="942">
        <v>1311300920</v>
      </c>
      <c r="C52" t="s">
        <v>1189</v>
      </c>
      <c r="D52" s="930">
        <v>-200000</v>
      </c>
      <c r="E52" s="930">
        <v>-99960</v>
      </c>
      <c r="F52" s="930">
        <v>0</v>
      </c>
      <c r="G52" s="930">
        <v>0</v>
      </c>
      <c r="H52" s="930">
        <f t="shared" si="2"/>
        <v>0</v>
      </c>
    </row>
    <row r="53" spans="1:8" x14ac:dyDescent="0.25">
      <c r="A53">
        <v>6</v>
      </c>
      <c r="B53" s="942">
        <v>1312100920</v>
      </c>
      <c r="C53" t="s">
        <v>1899</v>
      </c>
      <c r="D53" s="930">
        <v>-10000</v>
      </c>
      <c r="E53" s="930">
        <v>-4998</v>
      </c>
      <c r="F53" s="930">
        <v>13200</v>
      </c>
      <c r="G53" s="930">
        <v>0</v>
      </c>
      <c r="H53" s="930">
        <f t="shared" si="2"/>
        <v>13200</v>
      </c>
    </row>
    <row r="54" spans="1:8" x14ac:dyDescent="0.25">
      <c r="A54">
        <v>6</v>
      </c>
      <c r="B54" s="942">
        <v>1312110920</v>
      </c>
      <c r="C54" t="s">
        <v>1900</v>
      </c>
      <c r="D54" s="930">
        <v>-7056</v>
      </c>
      <c r="E54" s="930">
        <v>-3528</v>
      </c>
      <c r="F54" s="930">
        <v>0</v>
      </c>
      <c r="G54" s="930">
        <v>0</v>
      </c>
      <c r="H54" s="930">
        <f t="shared" si="2"/>
        <v>0</v>
      </c>
    </row>
    <row r="55" spans="1:8" x14ac:dyDescent="0.25">
      <c r="A55">
        <v>6</v>
      </c>
      <c r="B55" s="942">
        <v>1312200920</v>
      </c>
      <c r="C55" t="s">
        <v>1901</v>
      </c>
      <c r="D55" s="930">
        <v>-1074094</v>
      </c>
      <c r="E55" s="930">
        <v>-536832</v>
      </c>
      <c r="F55" s="930">
        <v>-558180.09</v>
      </c>
      <c r="G55" s="930">
        <v>0</v>
      </c>
      <c r="H55" s="930">
        <f t="shared" si="2"/>
        <v>-558180.09</v>
      </c>
    </row>
    <row r="56" spans="1:8" x14ac:dyDescent="0.25">
      <c r="A56">
        <v>6</v>
      </c>
      <c r="B56" s="942">
        <v>1312201920</v>
      </c>
      <c r="C56" t="s">
        <v>1902</v>
      </c>
      <c r="D56" s="930">
        <v>115000</v>
      </c>
      <c r="E56" s="930">
        <v>57480</v>
      </c>
      <c r="F56" s="930">
        <v>80131.3</v>
      </c>
      <c r="G56" s="930">
        <v>0</v>
      </c>
      <c r="H56" s="930">
        <f t="shared" si="2"/>
        <v>80131.3</v>
      </c>
    </row>
    <row r="57" spans="1:8" x14ac:dyDescent="0.25">
      <c r="A57">
        <v>6</v>
      </c>
      <c r="B57" s="942">
        <v>1312210920</v>
      </c>
      <c r="C57" t="s">
        <v>1193</v>
      </c>
      <c r="D57" s="930">
        <v>-2000</v>
      </c>
      <c r="E57" s="930">
        <v>-1002</v>
      </c>
      <c r="F57" s="930">
        <v>73.5</v>
      </c>
      <c r="G57" s="930">
        <v>0</v>
      </c>
      <c r="H57" s="930">
        <f t="shared" si="2"/>
        <v>73.5</v>
      </c>
    </row>
    <row r="58" spans="1:8" x14ac:dyDescent="0.25">
      <c r="A58">
        <v>6</v>
      </c>
      <c r="B58" s="942">
        <v>1312300920</v>
      </c>
      <c r="C58" t="s">
        <v>1903</v>
      </c>
      <c r="D58" s="930">
        <v>-2888722</v>
      </c>
      <c r="E58" s="930">
        <v>-1443786</v>
      </c>
      <c r="F58" s="930">
        <v>-1647023.05</v>
      </c>
      <c r="G58" s="930">
        <v>0</v>
      </c>
      <c r="H58" s="930">
        <f t="shared" si="2"/>
        <v>-1647023.05</v>
      </c>
    </row>
    <row r="59" spans="1:8" x14ac:dyDescent="0.25">
      <c r="A59">
        <v>6</v>
      </c>
      <c r="B59" s="942">
        <v>1312310920</v>
      </c>
      <c r="C59" t="s">
        <v>1904</v>
      </c>
      <c r="D59" s="930">
        <v>-1400000</v>
      </c>
      <c r="E59" s="930">
        <v>-699720</v>
      </c>
      <c r="F59" s="930">
        <v>-848477.55</v>
      </c>
      <c r="G59" s="930">
        <v>0</v>
      </c>
      <c r="H59" s="930">
        <f t="shared" si="2"/>
        <v>-848477.55</v>
      </c>
    </row>
    <row r="60" spans="1:8" x14ac:dyDescent="0.25">
      <c r="A60">
        <v>6</v>
      </c>
      <c r="B60" s="942">
        <v>1312345920</v>
      </c>
      <c r="C60" t="s">
        <v>1197</v>
      </c>
      <c r="D60" s="930">
        <v>-334000</v>
      </c>
      <c r="E60" s="930">
        <v>-166932</v>
      </c>
      <c r="F60" s="930">
        <v>-215931.26</v>
      </c>
      <c r="G60" s="930">
        <v>0</v>
      </c>
      <c r="H60" s="930">
        <f t="shared" si="2"/>
        <v>-215931.26</v>
      </c>
    </row>
    <row r="61" spans="1:8" x14ac:dyDescent="0.25">
      <c r="A61">
        <v>6</v>
      </c>
      <c r="B61" s="942">
        <v>1312346920</v>
      </c>
      <c r="C61" t="s">
        <v>1905</v>
      </c>
      <c r="D61" s="930">
        <v>-780000</v>
      </c>
      <c r="E61" s="930">
        <v>-389844</v>
      </c>
      <c r="F61" s="930">
        <v>-281554.09000000003</v>
      </c>
      <c r="G61" s="930">
        <v>0</v>
      </c>
      <c r="H61" s="930">
        <f t="shared" si="2"/>
        <v>-281554.09000000003</v>
      </c>
    </row>
    <row r="62" spans="1:8" x14ac:dyDescent="0.25">
      <c r="A62">
        <v>6</v>
      </c>
      <c r="B62" s="942">
        <v>1312509920</v>
      </c>
      <c r="C62" t="s">
        <v>1906</v>
      </c>
      <c r="D62" s="930">
        <v>-166100</v>
      </c>
      <c r="E62" s="930">
        <v>-83016</v>
      </c>
      <c r="F62" s="930">
        <v>-16255</v>
      </c>
      <c r="G62" s="930">
        <v>0</v>
      </c>
      <c r="H62" s="930">
        <f t="shared" si="2"/>
        <v>-16255</v>
      </c>
    </row>
    <row r="63" spans="1:8" x14ac:dyDescent="0.25">
      <c r="A63">
        <v>6</v>
      </c>
      <c r="B63" s="942">
        <v>1312510920</v>
      </c>
      <c r="C63" t="s">
        <v>1907</v>
      </c>
      <c r="D63" s="930">
        <v>-211330</v>
      </c>
      <c r="E63" s="930">
        <v>-105624</v>
      </c>
      <c r="F63" s="930">
        <v>-44801</v>
      </c>
      <c r="G63" s="930">
        <v>0</v>
      </c>
      <c r="H63" s="930">
        <f t="shared" si="2"/>
        <v>-44801</v>
      </c>
    </row>
    <row r="64" spans="1:8" x14ac:dyDescent="0.25">
      <c r="A64">
        <v>6</v>
      </c>
      <c r="B64" s="942">
        <v>1312512920</v>
      </c>
      <c r="C64" t="s">
        <v>1200</v>
      </c>
      <c r="D64" s="930">
        <v>-110000</v>
      </c>
      <c r="E64" s="930">
        <v>-54978</v>
      </c>
      <c r="F64" s="930">
        <v>0</v>
      </c>
      <c r="G64" s="930">
        <v>0</v>
      </c>
      <c r="H64" s="930">
        <f t="shared" si="2"/>
        <v>0</v>
      </c>
    </row>
    <row r="65" spans="1:8" x14ac:dyDescent="0.25">
      <c r="A65">
        <v>6</v>
      </c>
      <c r="B65" s="942">
        <v>1312513920</v>
      </c>
      <c r="C65" t="s">
        <v>1908</v>
      </c>
      <c r="D65" s="930">
        <v>-715683</v>
      </c>
      <c r="E65" s="930">
        <v>-357696</v>
      </c>
      <c r="F65" s="930">
        <v>0</v>
      </c>
      <c r="G65" s="930">
        <v>0</v>
      </c>
      <c r="H65" s="930">
        <f t="shared" si="2"/>
        <v>0</v>
      </c>
    </row>
    <row r="66" spans="1:8" x14ac:dyDescent="0.25">
      <c r="A66">
        <v>6</v>
      </c>
      <c r="B66" s="942">
        <v>1312514920</v>
      </c>
      <c r="C66" t="s">
        <v>1202</v>
      </c>
      <c r="D66" s="930">
        <v>-500</v>
      </c>
      <c r="E66" s="930">
        <v>-252</v>
      </c>
      <c r="F66" s="930">
        <v>0</v>
      </c>
      <c r="G66" s="930">
        <v>0</v>
      </c>
      <c r="H66" s="930">
        <f t="shared" si="2"/>
        <v>0</v>
      </c>
    </row>
    <row r="67" spans="1:8" x14ac:dyDescent="0.25">
      <c r="A67">
        <v>6</v>
      </c>
      <c r="B67" s="942">
        <v>1312515920</v>
      </c>
      <c r="C67" t="s">
        <v>1909</v>
      </c>
      <c r="D67" s="930">
        <v>-104000</v>
      </c>
      <c r="E67" s="930">
        <v>-51978</v>
      </c>
      <c r="F67" s="930">
        <v>0</v>
      </c>
      <c r="G67" s="930">
        <v>0</v>
      </c>
      <c r="H67" s="930">
        <f t="shared" si="2"/>
        <v>0</v>
      </c>
    </row>
    <row r="68" spans="1:8" x14ac:dyDescent="0.25">
      <c r="A68">
        <v>6</v>
      </c>
      <c r="B68" s="942">
        <v>1312517920</v>
      </c>
      <c r="C68" t="s">
        <v>1910</v>
      </c>
      <c r="D68" s="930">
        <v>-68500</v>
      </c>
      <c r="E68" s="930">
        <v>-34236</v>
      </c>
      <c r="F68" s="930">
        <v>0</v>
      </c>
      <c r="G68" s="930">
        <v>0</v>
      </c>
      <c r="H68" s="930">
        <f t="shared" si="2"/>
        <v>0</v>
      </c>
    </row>
    <row r="69" spans="1:8" x14ac:dyDescent="0.25">
      <c r="A69">
        <v>6</v>
      </c>
      <c r="B69" s="942">
        <v>1312610920</v>
      </c>
      <c r="C69" t="s">
        <v>1911</v>
      </c>
      <c r="D69" s="930">
        <v>-4000</v>
      </c>
      <c r="E69" s="930">
        <v>-1998</v>
      </c>
      <c r="F69" s="930">
        <v>-5583.6</v>
      </c>
      <c r="G69" s="930">
        <v>0</v>
      </c>
      <c r="H69" s="930">
        <f t="shared" si="2"/>
        <v>-5583.6</v>
      </c>
    </row>
    <row r="70" spans="1:8" x14ac:dyDescent="0.25">
      <c r="A70">
        <v>6</v>
      </c>
      <c r="B70" s="942">
        <v>1312751920</v>
      </c>
      <c r="C70" t="s">
        <v>1912</v>
      </c>
      <c r="D70" s="930">
        <v>350000</v>
      </c>
      <c r="E70" s="930">
        <v>174930</v>
      </c>
      <c r="F70" s="930">
        <v>178109.9</v>
      </c>
      <c r="G70" s="930">
        <v>0</v>
      </c>
      <c r="H70" s="930">
        <f t="shared" si="2"/>
        <v>178109.9</v>
      </c>
    </row>
    <row r="71" spans="1:8" x14ac:dyDescent="0.25">
      <c r="A71">
        <v>6</v>
      </c>
      <c r="B71" s="942">
        <v>1313100920</v>
      </c>
      <c r="C71" t="s">
        <v>1913</v>
      </c>
      <c r="D71" s="930">
        <v>-868000</v>
      </c>
      <c r="E71" s="930">
        <v>-433824</v>
      </c>
      <c r="F71" s="930">
        <v>-564897.85</v>
      </c>
      <c r="G71" s="930">
        <v>0</v>
      </c>
      <c r="H71" s="930">
        <f t="shared" si="2"/>
        <v>-564897.85</v>
      </c>
    </row>
    <row r="72" spans="1:8" x14ac:dyDescent="0.25">
      <c r="A72">
        <v>6</v>
      </c>
      <c r="B72" s="942">
        <v>1313110920</v>
      </c>
      <c r="C72" t="s">
        <v>1914</v>
      </c>
      <c r="D72" s="930">
        <v>0</v>
      </c>
      <c r="E72" s="930">
        <v>0</v>
      </c>
      <c r="F72" s="930">
        <v>0</v>
      </c>
      <c r="G72" s="930">
        <v>0</v>
      </c>
      <c r="H72" s="930">
        <f t="shared" si="2"/>
        <v>0</v>
      </c>
    </row>
    <row r="73" spans="1:8" x14ac:dyDescent="0.25">
      <c r="A73">
        <v>6</v>
      </c>
      <c r="B73" s="942">
        <v>1313120920</v>
      </c>
      <c r="C73" t="s">
        <v>1915</v>
      </c>
      <c r="D73" s="930">
        <v>-182000</v>
      </c>
      <c r="E73" s="930">
        <v>-90966</v>
      </c>
      <c r="F73" s="930">
        <v>-100747.65</v>
      </c>
      <c r="G73" s="930">
        <v>0</v>
      </c>
      <c r="H73" s="930">
        <f t="shared" si="2"/>
        <v>-100747.65</v>
      </c>
    </row>
    <row r="74" spans="1:8" x14ac:dyDescent="0.25">
      <c r="A74">
        <v>6</v>
      </c>
      <c r="B74" s="942">
        <v>1313130920</v>
      </c>
      <c r="C74" t="s">
        <v>1916</v>
      </c>
      <c r="D74" s="930">
        <v>-192000</v>
      </c>
      <c r="E74" s="930">
        <v>-95964</v>
      </c>
      <c r="F74" s="930">
        <v>-97625</v>
      </c>
      <c r="G74" s="930">
        <v>0</v>
      </c>
      <c r="H74" s="930">
        <f t="shared" si="2"/>
        <v>-97625</v>
      </c>
    </row>
    <row r="75" spans="1:8" x14ac:dyDescent="0.25">
      <c r="A75">
        <v>6</v>
      </c>
      <c r="B75" s="942">
        <v>1313131920</v>
      </c>
      <c r="C75" t="s">
        <v>1210</v>
      </c>
      <c r="D75" s="930">
        <v>-65000</v>
      </c>
      <c r="E75" s="930">
        <v>-32490</v>
      </c>
      <c r="F75" s="930">
        <v>23496.48</v>
      </c>
      <c r="G75" s="930">
        <v>0</v>
      </c>
      <c r="H75" s="930">
        <f t="shared" si="2"/>
        <v>23496.48</v>
      </c>
    </row>
    <row r="76" spans="1:8" x14ac:dyDescent="0.25">
      <c r="A76">
        <v>6</v>
      </c>
      <c r="B76" s="942">
        <v>1313140920</v>
      </c>
      <c r="C76" t="s">
        <v>1917</v>
      </c>
      <c r="D76" s="930">
        <v>-7700</v>
      </c>
      <c r="E76" s="930">
        <v>-3846</v>
      </c>
      <c r="F76" s="930">
        <v>-4250.4799999999996</v>
      </c>
      <c r="G76" s="930">
        <v>0</v>
      </c>
      <c r="H76" s="930">
        <f t="shared" si="2"/>
        <v>-4250.4799999999996</v>
      </c>
    </row>
    <row r="77" spans="1:8" x14ac:dyDescent="0.25">
      <c r="A77">
        <v>6</v>
      </c>
      <c r="B77" s="942">
        <v>1313200920</v>
      </c>
      <c r="C77" t="s">
        <v>1918</v>
      </c>
      <c r="D77" s="930">
        <v>-80000</v>
      </c>
      <c r="E77" s="930">
        <v>-39984</v>
      </c>
      <c r="F77" s="930">
        <v>-41059.040000000001</v>
      </c>
      <c r="G77" s="930">
        <v>0</v>
      </c>
      <c r="H77" s="930">
        <f t="shared" si="2"/>
        <v>-41059.040000000001</v>
      </c>
    </row>
    <row r="78" spans="1:8" x14ac:dyDescent="0.25">
      <c r="A78">
        <v>6</v>
      </c>
      <c r="B78" s="942">
        <v>1313201920</v>
      </c>
      <c r="C78" t="s">
        <v>1919</v>
      </c>
      <c r="D78" s="930">
        <v>-75000</v>
      </c>
      <c r="E78" s="930">
        <v>-37488</v>
      </c>
      <c r="F78" s="930">
        <v>-42905.42</v>
      </c>
      <c r="G78" s="930">
        <v>0</v>
      </c>
      <c r="H78" s="930">
        <f t="shared" si="2"/>
        <v>-42905.42</v>
      </c>
    </row>
    <row r="79" spans="1:8" x14ac:dyDescent="0.25">
      <c r="A79">
        <v>6</v>
      </c>
      <c r="B79" s="942">
        <v>1313202920</v>
      </c>
      <c r="C79" t="s">
        <v>1920</v>
      </c>
      <c r="D79" s="930">
        <v>-36300</v>
      </c>
      <c r="E79" s="930">
        <v>-18144</v>
      </c>
      <c r="F79" s="930">
        <v>-21318.87</v>
      </c>
      <c r="G79" s="930">
        <v>0</v>
      </c>
      <c r="H79" s="930">
        <f t="shared" si="2"/>
        <v>-21318.87</v>
      </c>
    </row>
    <row r="80" spans="1:8" x14ac:dyDescent="0.25">
      <c r="A80">
        <v>6</v>
      </c>
      <c r="B80" s="942">
        <v>1313203920</v>
      </c>
      <c r="C80" t="s">
        <v>1216</v>
      </c>
      <c r="D80" s="930">
        <v>-15000</v>
      </c>
      <c r="E80" s="930">
        <v>-7500</v>
      </c>
      <c r="F80" s="930">
        <v>0</v>
      </c>
      <c r="G80" s="930">
        <v>0</v>
      </c>
      <c r="H80" s="930">
        <f t="shared" si="2"/>
        <v>0</v>
      </c>
    </row>
    <row r="81" spans="1:8" x14ac:dyDescent="0.25">
      <c r="A81">
        <v>6</v>
      </c>
      <c r="B81" s="942">
        <v>1313210920</v>
      </c>
      <c r="C81" t="s">
        <v>1921</v>
      </c>
      <c r="D81" s="930">
        <v>-25000</v>
      </c>
      <c r="E81" s="930">
        <v>-12498</v>
      </c>
      <c r="F81" s="930">
        <v>-13077.84</v>
      </c>
      <c r="G81" s="930">
        <v>0</v>
      </c>
      <c r="H81" s="930">
        <f t="shared" si="2"/>
        <v>-13077.84</v>
      </c>
    </row>
    <row r="82" spans="1:8" x14ac:dyDescent="0.25">
      <c r="A82">
        <v>6</v>
      </c>
      <c r="B82" s="942">
        <v>1313211920</v>
      </c>
      <c r="C82" t="s">
        <v>1218</v>
      </c>
      <c r="D82" s="930">
        <v>-29000</v>
      </c>
      <c r="E82" s="930">
        <v>-14496</v>
      </c>
      <c r="F82" s="930">
        <v>-14907.4</v>
      </c>
      <c r="G82" s="930">
        <v>0</v>
      </c>
      <c r="H82" s="930">
        <f t="shared" si="2"/>
        <v>-14907.4</v>
      </c>
    </row>
    <row r="83" spans="1:8" x14ac:dyDescent="0.25">
      <c r="A83">
        <v>6</v>
      </c>
      <c r="B83" s="942">
        <v>1313212920</v>
      </c>
      <c r="C83" t="s">
        <v>1922</v>
      </c>
      <c r="D83" s="930">
        <v>-70000</v>
      </c>
      <c r="E83" s="930">
        <v>-34986</v>
      </c>
      <c r="F83" s="930">
        <v>-42822.71</v>
      </c>
      <c r="G83" s="930">
        <v>0</v>
      </c>
      <c r="H83" s="930">
        <f t="shared" si="2"/>
        <v>-42822.71</v>
      </c>
    </row>
    <row r="84" spans="1:8" x14ac:dyDescent="0.25">
      <c r="A84">
        <v>6</v>
      </c>
      <c r="B84" s="942">
        <v>1313213920</v>
      </c>
      <c r="C84" t="s">
        <v>1923</v>
      </c>
      <c r="D84" s="930">
        <v>-68125</v>
      </c>
      <c r="E84" s="930">
        <v>-34050</v>
      </c>
      <c r="F84" s="930">
        <v>0</v>
      </c>
      <c r="G84" s="930">
        <v>0</v>
      </c>
      <c r="H84" s="930">
        <f t="shared" si="2"/>
        <v>0</v>
      </c>
    </row>
    <row r="85" spans="1:8" x14ac:dyDescent="0.25">
      <c r="A85">
        <v>6</v>
      </c>
      <c r="B85" s="942">
        <v>1313214920</v>
      </c>
      <c r="C85" t="s">
        <v>1924</v>
      </c>
      <c r="D85" s="930">
        <v>-2000</v>
      </c>
      <c r="E85" s="930">
        <v>-1002</v>
      </c>
      <c r="F85" s="930">
        <v>0</v>
      </c>
      <c r="G85" s="930">
        <v>0</v>
      </c>
      <c r="H85" s="930">
        <f t="shared" si="2"/>
        <v>0</v>
      </c>
    </row>
    <row r="86" spans="1:8" x14ac:dyDescent="0.25">
      <c r="A86">
        <v>6</v>
      </c>
      <c r="B86" s="942">
        <v>1313220920</v>
      </c>
      <c r="C86" t="s">
        <v>1925</v>
      </c>
      <c r="D86" s="930">
        <v>-17000</v>
      </c>
      <c r="E86" s="930">
        <v>-8496</v>
      </c>
      <c r="F86" s="930">
        <v>46.2</v>
      </c>
      <c r="G86" s="930">
        <v>0</v>
      </c>
      <c r="H86" s="930">
        <f t="shared" si="2"/>
        <v>46.2</v>
      </c>
    </row>
    <row r="87" spans="1:8" x14ac:dyDescent="0.25">
      <c r="A87">
        <v>6</v>
      </c>
      <c r="B87" s="942">
        <v>1313310920</v>
      </c>
      <c r="C87" t="s">
        <v>1222</v>
      </c>
      <c r="D87" s="930">
        <v>-200000</v>
      </c>
      <c r="E87" s="930">
        <v>-99960</v>
      </c>
      <c r="F87" s="930">
        <v>-97780.2</v>
      </c>
      <c r="G87" s="930">
        <v>0</v>
      </c>
      <c r="H87" s="930">
        <f t="shared" si="2"/>
        <v>-97780.2</v>
      </c>
    </row>
    <row r="88" spans="1:8" x14ac:dyDescent="0.25">
      <c r="A88">
        <v>6</v>
      </c>
      <c r="B88" s="942">
        <v>1313311920</v>
      </c>
      <c r="C88" t="s">
        <v>1926</v>
      </c>
      <c r="D88" s="930">
        <v>-30000</v>
      </c>
      <c r="E88" s="930">
        <v>-14994</v>
      </c>
      <c r="F88" s="930">
        <v>-42399.92</v>
      </c>
      <c r="G88" s="930">
        <v>0</v>
      </c>
      <c r="H88" s="930">
        <f t="shared" si="2"/>
        <v>-42399.92</v>
      </c>
    </row>
    <row r="89" spans="1:8" x14ac:dyDescent="0.25">
      <c r="A89">
        <v>6</v>
      </c>
      <c r="B89" s="942">
        <v>1313312920</v>
      </c>
      <c r="C89" t="s">
        <v>1927</v>
      </c>
      <c r="D89" s="930">
        <v>-195000</v>
      </c>
      <c r="E89" s="930">
        <v>-97464</v>
      </c>
      <c r="F89" s="930">
        <v>-97780.2</v>
      </c>
      <c r="G89" s="930">
        <v>0</v>
      </c>
      <c r="H89" s="930">
        <f t="shared" si="2"/>
        <v>-97780.2</v>
      </c>
    </row>
    <row r="90" spans="1:8" x14ac:dyDescent="0.25">
      <c r="A90">
        <v>6</v>
      </c>
      <c r="B90" s="942">
        <v>1313313920</v>
      </c>
      <c r="C90" t="s">
        <v>1928</v>
      </c>
      <c r="D90" s="930">
        <v>-420000</v>
      </c>
      <c r="E90" s="930">
        <v>-209916</v>
      </c>
      <c r="F90" s="930">
        <v>-125655</v>
      </c>
      <c r="G90" s="930">
        <v>0</v>
      </c>
      <c r="H90" s="930">
        <f t="shared" si="2"/>
        <v>-125655</v>
      </c>
    </row>
    <row r="91" spans="1:8" x14ac:dyDescent="0.25">
      <c r="A91">
        <v>6</v>
      </c>
      <c r="B91" s="942">
        <v>1313600920</v>
      </c>
      <c r="C91" t="s">
        <v>1929</v>
      </c>
      <c r="D91" s="930">
        <v>0</v>
      </c>
      <c r="E91" s="930">
        <v>0</v>
      </c>
      <c r="F91" s="930">
        <v>-4647.84</v>
      </c>
      <c r="G91" s="930">
        <v>0</v>
      </c>
      <c r="H91" s="930">
        <f t="shared" si="2"/>
        <v>-4647.84</v>
      </c>
    </row>
    <row r="92" spans="1:8" x14ac:dyDescent="0.25">
      <c r="A92">
        <v>6</v>
      </c>
      <c r="B92" s="942">
        <v>1313610920</v>
      </c>
      <c r="C92" t="s">
        <v>1930</v>
      </c>
      <c r="D92" s="930">
        <v>0</v>
      </c>
      <c r="E92" s="930">
        <v>0</v>
      </c>
      <c r="F92" s="930">
        <v>-9999.9599999999991</v>
      </c>
      <c r="G92" s="930">
        <v>0</v>
      </c>
      <c r="H92" s="930">
        <f t="shared" si="2"/>
        <v>-9999.9599999999991</v>
      </c>
    </row>
    <row r="93" spans="1:8" x14ac:dyDescent="0.25">
      <c r="A93">
        <v>6</v>
      </c>
      <c r="B93" s="942">
        <v>1313800920</v>
      </c>
      <c r="C93" t="s">
        <v>1226</v>
      </c>
      <c r="D93" s="930">
        <v>-350000</v>
      </c>
      <c r="E93" s="930">
        <v>-174930</v>
      </c>
      <c r="F93" s="930">
        <v>-394770</v>
      </c>
      <c r="G93" s="930">
        <v>0</v>
      </c>
      <c r="H93" s="930">
        <f t="shared" si="2"/>
        <v>-394770</v>
      </c>
    </row>
    <row r="94" spans="1:8" x14ac:dyDescent="0.25">
      <c r="A94">
        <v>6</v>
      </c>
      <c r="B94" s="942">
        <v>1314000920</v>
      </c>
      <c r="C94" t="s">
        <v>1931</v>
      </c>
      <c r="D94" s="930">
        <v>-1185000</v>
      </c>
      <c r="E94" s="930">
        <v>-592266</v>
      </c>
      <c r="F94" s="930">
        <v>-762297.95</v>
      </c>
      <c r="G94" s="930">
        <v>0</v>
      </c>
      <c r="H94" s="930">
        <f t="shared" si="2"/>
        <v>-762297.95</v>
      </c>
    </row>
    <row r="95" spans="1:8" x14ac:dyDescent="0.25">
      <c r="A95">
        <v>6</v>
      </c>
      <c r="B95" s="942">
        <v>1314001920</v>
      </c>
      <c r="C95" t="s">
        <v>1932</v>
      </c>
      <c r="D95" s="930">
        <v>0</v>
      </c>
      <c r="E95" s="930">
        <v>0</v>
      </c>
      <c r="F95" s="930">
        <v>0</v>
      </c>
      <c r="G95" s="930">
        <v>0</v>
      </c>
      <c r="H95" s="930">
        <f t="shared" si="2"/>
        <v>0</v>
      </c>
    </row>
    <row r="96" spans="1:8" x14ac:dyDescent="0.25">
      <c r="A96">
        <v>6</v>
      </c>
      <c r="B96" s="942">
        <v>1314100920</v>
      </c>
      <c r="C96" t="s">
        <v>1933</v>
      </c>
      <c r="D96" s="930">
        <v>0</v>
      </c>
      <c r="E96" s="930">
        <v>0</v>
      </c>
      <c r="F96" s="930">
        <v>0</v>
      </c>
      <c r="G96" s="930">
        <v>0</v>
      </c>
      <c r="H96" s="930">
        <f t="shared" si="2"/>
        <v>0</v>
      </c>
    </row>
    <row r="97" spans="1:8" x14ac:dyDescent="0.25">
      <c r="A97">
        <v>6</v>
      </c>
      <c r="B97" s="942">
        <v>1315000920</v>
      </c>
      <c r="C97" t="s">
        <v>1934</v>
      </c>
      <c r="D97" s="930">
        <v>-236667</v>
      </c>
      <c r="E97" s="930">
        <v>-118284</v>
      </c>
      <c r="F97" s="930">
        <v>-343348.41</v>
      </c>
      <c r="G97" s="930">
        <v>0</v>
      </c>
      <c r="H97" s="930">
        <f t="shared" si="2"/>
        <v>-343348.41</v>
      </c>
    </row>
    <row r="98" spans="1:8" x14ac:dyDescent="0.25">
      <c r="A98">
        <v>6</v>
      </c>
      <c r="B98" s="942">
        <v>1315100920</v>
      </c>
      <c r="C98" t="s">
        <v>1202</v>
      </c>
      <c r="D98" s="930">
        <v>-500</v>
      </c>
      <c r="E98" s="930">
        <v>-252</v>
      </c>
      <c r="F98" s="930">
        <v>-1002.32</v>
      </c>
      <c r="G98" s="930">
        <v>0</v>
      </c>
      <c r="H98" s="930">
        <f t="shared" si="2"/>
        <v>-1002.32</v>
      </c>
    </row>
    <row r="99" spans="1:8" x14ac:dyDescent="0.25">
      <c r="A99">
        <v>6</v>
      </c>
      <c r="B99" s="942">
        <v>1315500920</v>
      </c>
      <c r="C99" t="s">
        <v>1935</v>
      </c>
      <c r="D99" s="930">
        <v>-12000</v>
      </c>
      <c r="E99" s="930">
        <v>-6000</v>
      </c>
      <c r="F99" s="930">
        <v>-15719.57</v>
      </c>
      <c r="G99" s="930">
        <v>0</v>
      </c>
      <c r="H99" s="930">
        <f t="shared" si="2"/>
        <v>-15719.57</v>
      </c>
    </row>
    <row r="100" spans="1:8" x14ac:dyDescent="0.25">
      <c r="A100">
        <v>6</v>
      </c>
      <c r="B100" s="942">
        <v>1315700920</v>
      </c>
      <c r="C100" t="s">
        <v>1936</v>
      </c>
      <c r="D100" s="930">
        <v>0</v>
      </c>
      <c r="E100" s="930">
        <v>0</v>
      </c>
      <c r="F100" s="930">
        <v>-4166.6499999999996</v>
      </c>
      <c r="G100" s="930">
        <v>0</v>
      </c>
      <c r="H100" s="930">
        <f t="shared" si="2"/>
        <v>-4166.6499999999996</v>
      </c>
    </row>
    <row r="101" spans="1:8" x14ac:dyDescent="0.25">
      <c r="A101">
        <v>6</v>
      </c>
      <c r="B101" s="942">
        <v>1317100920</v>
      </c>
      <c r="C101" t="s">
        <v>1937</v>
      </c>
      <c r="D101" s="930">
        <v>-506511</v>
      </c>
      <c r="E101" s="930">
        <v>-253152</v>
      </c>
      <c r="F101" s="930">
        <v>-20177.14</v>
      </c>
      <c r="G101" s="930">
        <v>0</v>
      </c>
      <c r="H101" s="930">
        <f t="shared" si="2"/>
        <v>-20177.14</v>
      </c>
    </row>
    <row r="102" spans="1:8" x14ac:dyDescent="0.25">
      <c r="A102">
        <v>6</v>
      </c>
      <c r="B102" s="942">
        <v>1317101920</v>
      </c>
      <c r="C102" t="s">
        <v>1232</v>
      </c>
      <c r="D102" s="930">
        <v>-82566</v>
      </c>
      <c r="E102" s="930">
        <v>-41268</v>
      </c>
      <c r="F102" s="930">
        <v>-23145</v>
      </c>
      <c r="G102" s="930">
        <v>0</v>
      </c>
      <c r="H102" s="930">
        <f t="shared" si="2"/>
        <v>-23145</v>
      </c>
    </row>
    <row r="103" spans="1:8" x14ac:dyDescent="0.25">
      <c r="A103">
        <v>6</v>
      </c>
      <c r="B103" s="942">
        <v>1317110920</v>
      </c>
      <c r="C103" t="s">
        <v>1938</v>
      </c>
      <c r="D103" s="930">
        <v>0</v>
      </c>
      <c r="E103" s="930">
        <v>0</v>
      </c>
      <c r="F103" s="930">
        <v>-72014.47</v>
      </c>
      <c r="G103" s="930">
        <v>0</v>
      </c>
      <c r="H103" s="930">
        <f t="shared" si="2"/>
        <v>-72014.47</v>
      </c>
    </row>
    <row r="104" spans="1:8" x14ac:dyDescent="0.25">
      <c r="A104">
        <v>6</v>
      </c>
      <c r="B104" s="942">
        <v>1317120920</v>
      </c>
      <c r="C104" t="s">
        <v>1233</v>
      </c>
      <c r="D104" s="930">
        <v>-42000</v>
      </c>
      <c r="E104" s="930">
        <v>-20994</v>
      </c>
      <c r="F104" s="930">
        <v>-38270</v>
      </c>
      <c r="G104" s="930">
        <v>0</v>
      </c>
      <c r="H104" s="930">
        <f t="shared" si="2"/>
        <v>-38270</v>
      </c>
    </row>
    <row r="105" spans="1:8" x14ac:dyDescent="0.25">
      <c r="A105">
        <v>6</v>
      </c>
      <c r="B105" s="942">
        <v>1317130920</v>
      </c>
      <c r="C105" t="s">
        <v>1939</v>
      </c>
      <c r="D105" s="930">
        <v>-4800</v>
      </c>
      <c r="E105" s="930">
        <v>-2400</v>
      </c>
      <c r="F105" s="930">
        <v>-7161</v>
      </c>
      <c r="G105" s="930">
        <v>0</v>
      </c>
      <c r="H105" s="930">
        <f t="shared" si="2"/>
        <v>-7161</v>
      </c>
    </row>
    <row r="106" spans="1:8" x14ac:dyDescent="0.25">
      <c r="A106">
        <v>6</v>
      </c>
      <c r="B106" s="942">
        <v>1317200920</v>
      </c>
      <c r="C106" t="s">
        <v>1940</v>
      </c>
      <c r="D106" s="930">
        <v>-58000</v>
      </c>
      <c r="E106" s="930">
        <v>-28986</v>
      </c>
      <c r="F106" s="930">
        <v>-548.41</v>
      </c>
      <c r="G106" s="930">
        <v>0</v>
      </c>
      <c r="H106" s="930">
        <f t="shared" si="2"/>
        <v>-548.41</v>
      </c>
    </row>
    <row r="107" spans="1:8" x14ac:dyDescent="0.25">
      <c r="A107">
        <v>6</v>
      </c>
      <c r="B107" s="942">
        <v>1317300920</v>
      </c>
      <c r="C107" t="s">
        <v>1941</v>
      </c>
      <c r="D107" s="930">
        <v>-630000</v>
      </c>
      <c r="E107" s="930">
        <v>-314874</v>
      </c>
      <c r="F107" s="930">
        <v>-338907.4</v>
      </c>
      <c r="G107" s="930">
        <v>0</v>
      </c>
      <c r="H107" s="930">
        <f t="shared" si="2"/>
        <v>-338907.4</v>
      </c>
    </row>
    <row r="108" spans="1:8" x14ac:dyDescent="0.25">
      <c r="A108">
        <v>6</v>
      </c>
      <c r="B108" s="942">
        <v>1317310920</v>
      </c>
      <c r="C108" t="s">
        <v>1942</v>
      </c>
      <c r="D108" s="930">
        <v>-37000</v>
      </c>
      <c r="E108" s="930">
        <v>-18492</v>
      </c>
      <c r="F108" s="930">
        <v>-21027</v>
      </c>
      <c r="G108" s="930">
        <v>0</v>
      </c>
      <c r="H108" s="930">
        <f t="shared" si="2"/>
        <v>-21027</v>
      </c>
    </row>
    <row r="109" spans="1:8" x14ac:dyDescent="0.25">
      <c r="A109">
        <v>6</v>
      </c>
      <c r="B109" s="942">
        <v>1317600920</v>
      </c>
      <c r="C109" t="s">
        <v>1943</v>
      </c>
      <c r="D109" s="930">
        <v>-124000</v>
      </c>
      <c r="E109" s="930">
        <v>-61974</v>
      </c>
      <c r="F109" s="930">
        <v>-63447.42</v>
      </c>
      <c r="G109" s="930">
        <v>0</v>
      </c>
      <c r="H109" s="930">
        <f t="shared" si="2"/>
        <v>-63447.42</v>
      </c>
    </row>
    <row r="110" spans="1:8" x14ac:dyDescent="0.25">
      <c r="A110">
        <v>6</v>
      </c>
      <c r="B110" s="942">
        <v>1317700920</v>
      </c>
      <c r="C110" t="s">
        <v>1239</v>
      </c>
      <c r="D110" s="930">
        <v>-60000</v>
      </c>
      <c r="E110" s="930">
        <v>-29988</v>
      </c>
      <c r="F110" s="930">
        <v>-29322.63</v>
      </c>
      <c r="G110" s="930">
        <v>0</v>
      </c>
      <c r="H110" s="930">
        <f t="shared" si="2"/>
        <v>-29322.63</v>
      </c>
    </row>
    <row r="111" spans="1:8" x14ac:dyDescent="0.25">
      <c r="A111">
        <v>6</v>
      </c>
      <c r="B111" s="942">
        <v>1317800920</v>
      </c>
      <c r="C111" t="s">
        <v>1944</v>
      </c>
      <c r="D111" s="930">
        <v>-1180000</v>
      </c>
      <c r="E111" s="930">
        <v>-589764</v>
      </c>
      <c r="F111" s="930">
        <v>-700393.59</v>
      </c>
      <c r="G111" s="930">
        <v>0</v>
      </c>
      <c r="H111" s="930">
        <f t="shared" si="2"/>
        <v>-700393.59</v>
      </c>
    </row>
    <row r="112" spans="1:8" x14ac:dyDescent="0.25">
      <c r="A112">
        <v>6</v>
      </c>
      <c r="B112" s="942">
        <v>1317801920</v>
      </c>
      <c r="C112" t="s">
        <v>1772</v>
      </c>
      <c r="D112" s="930">
        <v>-300000</v>
      </c>
      <c r="E112" s="930">
        <v>-149940</v>
      </c>
      <c r="F112" s="930">
        <v>0</v>
      </c>
      <c r="G112" s="930">
        <v>0</v>
      </c>
      <c r="H112" s="930">
        <f t="shared" ref="H112:H120" si="3">F112+G112</f>
        <v>0</v>
      </c>
    </row>
    <row r="113" spans="1:8" x14ac:dyDescent="0.25">
      <c r="A113">
        <v>6</v>
      </c>
      <c r="B113" s="942">
        <v>1317810920</v>
      </c>
      <c r="C113" t="s">
        <v>1945</v>
      </c>
      <c r="D113" s="930">
        <v>-1082000</v>
      </c>
      <c r="E113" s="930">
        <v>-540786</v>
      </c>
      <c r="F113" s="930">
        <v>-406125.47</v>
      </c>
      <c r="G113" s="930">
        <v>0</v>
      </c>
      <c r="H113" s="930">
        <f t="shared" si="3"/>
        <v>-406125.47</v>
      </c>
    </row>
    <row r="114" spans="1:8" x14ac:dyDescent="0.25">
      <c r="A114">
        <v>6</v>
      </c>
      <c r="B114" s="942">
        <v>1317820920</v>
      </c>
      <c r="C114" t="s">
        <v>1946</v>
      </c>
      <c r="D114" s="930">
        <v>-158080</v>
      </c>
      <c r="E114" s="930">
        <v>-79008</v>
      </c>
      <c r="F114" s="930">
        <v>0</v>
      </c>
      <c r="G114" s="930">
        <v>0</v>
      </c>
      <c r="H114" s="930">
        <f t="shared" si="3"/>
        <v>0</v>
      </c>
    </row>
    <row r="115" spans="1:8" x14ac:dyDescent="0.25">
      <c r="A115">
        <v>6</v>
      </c>
      <c r="B115" s="942">
        <v>1317900920</v>
      </c>
      <c r="C115" t="s">
        <v>1947</v>
      </c>
      <c r="D115" s="930">
        <v>0</v>
      </c>
      <c r="E115" s="930">
        <v>0</v>
      </c>
      <c r="F115" s="930">
        <v>0</v>
      </c>
      <c r="G115" s="930">
        <v>0</v>
      </c>
      <c r="H115" s="930">
        <f t="shared" si="3"/>
        <v>0</v>
      </c>
    </row>
    <row r="116" spans="1:8" x14ac:dyDescent="0.25">
      <c r="A116">
        <v>6</v>
      </c>
      <c r="B116" s="942">
        <v>1317901920</v>
      </c>
      <c r="C116" t="s">
        <v>1243</v>
      </c>
      <c r="D116" s="930">
        <v>-19500</v>
      </c>
      <c r="E116" s="930">
        <v>-9744</v>
      </c>
      <c r="F116" s="930">
        <v>-7443.12</v>
      </c>
      <c r="G116" s="930">
        <v>0</v>
      </c>
      <c r="H116" s="930">
        <f t="shared" si="3"/>
        <v>-7443.12</v>
      </c>
    </row>
    <row r="117" spans="1:8" x14ac:dyDescent="0.25">
      <c r="A117">
        <v>6</v>
      </c>
      <c r="B117" s="942">
        <v>1317910920</v>
      </c>
      <c r="C117" t="s">
        <v>1244</v>
      </c>
      <c r="D117" s="930">
        <v>-9000</v>
      </c>
      <c r="E117" s="930">
        <v>-4500</v>
      </c>
      <c r="F117" s="930">
        <v>10771.18</v>
      </c>
      <c r="G117" s="930">
        <v>0</v>
      </c>
      <c r="H117" s="930">
        <f t="shared" si="3"/>
        <v>10771.18</v>
      </c>
    </row>
    <row r="118" spans="1:8" x14ac:dyDescent="0.25">
      <c r="A118">
        <v>6</v>
      </c>
      <c r="B118" s="942">
        <v>1317920920</v>
      </c>
      <c r="C118" t="s">
        <v>1948</v>
      </c>
      <c r="D118" s="930">
        <v>-715683</v>
      </c>
      <c r="E118" s="930">
        <v>-357696</v>
      </c>
      <c r="F118" s="930">
        <v>0</v>
      </c>
      <c r="G118" s="930">
        <v>0</v>
      </c>
      <c r="H118" s="930">
        <f t="shared" si="3"/>
        <v>0</v>
      </c>
    </row>
    <row r="119" spans="1:8" x14ac:dyDescent="0.25">
      <c r="A119">
        <v>6</v>
      </c>
      <c r="B119" s="942">
        <v>1319100920</v>
      </c>
      <c r="C119" t="s">
        <v>1038</v>
      </c>
      <c r="D119" s="930">
        <v>-130800</v>
      </c>
      <c r="E119" s="930">
        <v>-65376</v>
      </c>
      <c r="F119" s="930">
        <v>0</v>
      </c>
      <c r="G119" s="930">
        <v>0</v>
      </c>
      <c r="H119" s="930">
        <f t="shared" si="3"/>
        <v>0</v>
      </c>
    </row>
    <row r="120" spans="1:8" x14ac:dyDescent="0.25">
      <c r="A120">
        <v>6</v>
      </c>
      <c r="B120" s="942">
        <v>1319110920</v>
      </c>
      <c r="C120" t="s">
        <v>1949</v>
      </c>
      <c r="D120" s="930">
        <v>0</v>
      </c>
      <c r="E120" s="930">
        <v>0</v>
      </c>
      <c r="F120" s="930">
        <v>0</v>
      </c>
      <c r="G120" s="930">
        <v>0</v>
      </c>
      <c r="H120" s="930">
        <f t="shared" si="3"/>
        <v>0</v>
      </c>
    </row>
    <row r="121" spans="1:8" x14ac:dyDescent="0.25">
      <c r="A121" s="945" t="s">
        <v>1950</v>
      </c>
      <c r="C121" s="944" t="s">
        <v>1951</v>
      </c>
      <c r="D121" s="930">
        <f>SUBTOTAL(9,D48:D120)</f>
        <v>-17663552</v>
      </c>
      <c r="E121" s="930">
        <f>SUBTOTAL(9,E48:E120)</f>
        <v>-8828268</v>
      </c>
      <c r="F121" s="930">
        <f>SUBTOTAL(9,F48:F120)</f>
        <v>-7883140.0100000007</v>
      </c>
      <c r="G121" s="930">
        <f>SUBTOTAL(9,G48:G120)</f>
        <v>0</v>
      </c>
      <c r="H121" s="930">
        <f>SUBTOTAL(9,H48:H120)</f>
        <v>-7883140.0100000007</v>
      </c>
    </row>
    <row r="122" spans="1:8" x14ac:dyDescent="0.25">
      <c r="A122">
        <v>7</v>
      </c>
      <c r="B122" s="942">
        <v>1341000930</v>
      </c>
      <c r="C122" t="s">
        <v>1255</v>
      </c>
      <c r="D122" s="930">
        <v>-1505933</v>
      </c>
      <c r="E122" s="930">
        <v>-752664</v>
      </c>
      <c r="F122" s="930">
        <v>-467275</v>
      </c>
      <c r="G122" s="930">
        <v>0</v>
      </c>
      <c r="H122" s="930">
        <f t="shared" ref="H122:H185" si="4">F122+G122</f>
        <v>-467275</v>
      </c>
    </row>
    <row r="123" spans="1:8" x14ac:dyDescent="0.25">
      <c r="A123">
        <v>7</v>
      </c>
      <c r="B123" s="942">
        <v>1341002930</v>
      </c>
      <c r="C123" t="s">
        <v>1952</v>
      </c>
      <c r="D123" s="930">
        <v>-12461</v>
      </c>
      <c r="E123" s="930">
        <v>-6228</v>
      </c>
      <c r="F123" s="930">
        <v>0</v>
      </c>
      <c r="G123" s="930">
        <v>0</v>
      </c>
      <c r="H123" s="930">
        <f t="shared" si="4"/>
        <v>0</v>
      </c>
    </row>
    <row r="124" spans="1:8" x14ac:dyDescent="0.25">
      <c r="A124">
        <v>7</v>
      </c>
      <c r="B124" s="942">
        <v>1341021930</v>
      </c>
      <c r="C124" t="s">
        <v>1953</v>
      </c>
      <c r="D124" s="930">
        <v>0</v>
      </c>
      <c r="E124" s="930">
        <v>0</v>
      </c>
      <c r="F124" s="930">
        <v>0</v>
      </c>
      <c r="G124" s="930">
        <v>0</v>
      </c>
      <c r="H124" s="930">
        <f t="shared" si="4"/>
        <v>0</v>
      </c>
    </row>
    <row r="125" spans="1:8" x14ac:dyDescent="0.25">
      <c r="A125">
        <v>7</v>
      </c>
      <c r="B125" s="942">
        <v>1342200930</v>
      </c>
      <c r="C125" t="s">
        <v>1257</v>
      </c>
      <c r="D125" s="930">
        <v>0</v>
      </c>
      <c r="E125" s="930">
        <v>0</v>
      </c>
      <c r="F125" s="930">
        <v>0</v>
      </c>
      <c r="G125" s="930">
        <v>0</v>
      </c>
      <c r="H125" s="930">
        <f t="shared" si="4"/>
        <v>0</v>
      </c>
    </row>
    <row r="126" spans="1:8" x14ac:dyDescent="0.25">
      <c r="A126">
        <v>7</v>
      </c>
      <c r="B126" s="942">
        <v>1342201930</v>
      </c>
      <c r="C126" t="s">
        <v>1257</v>
      </c>
      <c r="D126" s="930">
        <v>-30000</v>
      </c>
      <c r="E126" s="930">
        <v>-14994</v>
      </c>
      <c r="F126" s="930">
        <v>-64904</v>
      </c>
      <c r="G126" s="930">
        <v>0</v>
      </c>
      <c r="H126" s="930">
        <f t="shared" si="4"/>
        <v>-64904</v>
      </c>
    </row>
    <row r="127" spans="1:8" x14ac:dyDescent="0.25">
      <c r="A127">
        <v>7</v>
      </c>
      <c r="B127" s="942">
        <v>1342210930</v>
      </c>
      <c r="C127" t="s">
        <v>1258</v>
      </c>
      <c r="D127" s="930">
        <v>-37300</v>
      </c>
      <c r="E127" s="930">
        <v>-18642</v>
      </c>
      <c r="F127" s="930">
        <v>-15249</v>
      </c>
      <c r="G127" s="930">
        <v>0</v>
      </c>
      <c r="H127" s="930">
        <f t="shared" si="4"/>
        <v>-15249</v>
      </c>
    </row>
    <row r="128" spans="1:8" x14ac:dyDescent="0.25">
      <c r="A128">
        <v>7</v>
      </c>
      <c r="B128" s="942">
        <v>1342218930</v>
      </c>
      <c r="C128" t="s">
        <v>803</v>
      </c>
      <c r="D128" s="930">
        <v>0</v>
      </c>
      <c r="E128" s="930">
        <v>0</v>
      </c>
      <c r="F128" s="930">
        <v>0</v>
      </c>
      <c r="G128" s="930">
        <v>0</v>
      </c>
      <c r="H128" s="930">
        <f t="shared" si="4"/>
        <v>0</v>
      </c>
    </row>
    <row r="129" spans="1:8" x14ac:dyDescent="0.25">
      <c r="A129">
        <v>7</v>
      </c>
      <c r="B129" s="942">
        <v>1342220930</v>
      </c>
      <c r="C129" t="s">
        <v>803</v>
      </c>
      <c r="D129" s="930">
        <v>0</v>
      </c>
      <c r="E129" s="930">
        <v>0</v>
      </c>
      <c r="F129" s="930">
        <v>0</v>
      </c>
      <c r="G129" s="930">
        <v>0</v>
      </c>
      <c r="H129" s="930">
        <f t="shared" si="4"/>
        <v>0</v>
      </c>
    </row>
    <row r="130" spans="1:8" x14ac:dyDescent="0.25">
      <c r="A130">
        <v>7</v>
      </c>
      <c r="B130" s="942">
        <v>1342222930</v>
      </c>
      <c r="C130" t="s">
        <v>803</v>
      </c>
      <c r="D130" s="930">
        <v>-37300</v>
      </c>
      <c r="E130" s="930">
        <v>-18642</v>
      </c>
      <c r="F130" s="930">
        <v>-3221</v>
      </c>
      <c r="G130" s="930">
        <v>0</v>
      </c>
      <c r="H130" s="930">
        <f t="shared" si="4"/>
        <v>-3221</v>
      </c>
    </row>
    <row r="131" spans="1:8" x14ac:dyDescent="0.25">
      <c r="A131">
        <v>7</v>
      </c>
      <c r="B131" s="942">
        <v>1342226930</v>
      </c>
      <c r="C131" t="s">
        <v>1954</v>
      </c>
      <c r="D131" s="930">
        <v>0</v>
      </c>
      <c r="E131" s="930">
        <v>0</v>
      </c>
      <c r="F131" s="930">
        <v>0</v>
      </c>
      <c r="G131" s="930">
        <v>0</v>
      </c>
      <c r="H131" s="930">
        <f t="shared" si="4"/>
        <v>0</v>
      </c>
    </row>
    <row r="132" spans="1:8" x14ac:dyDescent="0.25">
      <c r="A132">
        <v>7</v>
      </c>
      <c r="B132" s="942">
        <v>1342400093</v>
      </c>
      <c r="C132" t="s">
        <v>1259</v>
      </c>
      <c r="D132" s="930">
        <v>-262000</v>
      </c>
      <c r="E132" s="930">
        <v>-130950</v>
      </c>
      <c r="F132" s="930">
        <v>0</v>
      </c>
      <c r="G132" s="930">
        <v>0</v>
      </c>
      <c r="H132" s="930">
        <f t="shared" si="4"/>
        <v>0</v>
      </c>
    </row>
    <row r="133" spans="1:8" x14ac:dyDescent="0.25">
      <c r="A133">
        <v>7</v>
      </c>
      <c r="B133" s="942">
        <v>1343500930</v>
      </c>
      <c r="C133" t="s">
        <v>1955</v>
      </c>
      <c r="D133" s="930">
        <v>-68500</v>
      </c>
      <c r="E133" s="930">
        <v>-34236</v>
      </c>
      <c r="F133" s="930">
        <v>0</v>
      </c>
      <c r="G133" s="930">
        <v>0</v>
      </c>
      <c r="H133" s="930">
        <f t="shared" si="4"/>
        <v>0</v>
      </c>
    </row>
    <row r="134" spans="1:8" x14ac:dyDescent="0.25">
      <c r="A134">
        <v>7</v>
      </c>
      <c r="B134" s="942">
        <v>1343513930</v>
      </c>
      <c r="C134" t="s">
        <v>1263</v>
      </c>
      <c r="D134" s="930">
        <v>-14008</v>
      </c>
      <c r="E134" s="930">
        <v>-7002</v>
      </c>
      <c r="F134" s="930">
        <v>0</v>
      </c>
      <c r="G134" s="930">
        <v>0</v>
      </c>
      <c r="H134" s="930">
        <f t="shared" si="4"/>
        <v>0</v>
      </c>
    </row>
    <row r="135" spans="1:8" x14ac:dyDescent="0.25">
      <c r="A135">
        <v>7</v>
      </c>
      <c r="B135" s="942">
        <v>1343514930</v>
      </c>
      <c r="C135" t="s">
        <v>1956</v>
      </c>
      <c r="D135" s="930">
        <v>0</v>
      </c>
      <c r="E135" s="930">
        <v>0</v>
      </c>
      <c r="F135" s="930">
        <v>0</v>
      </c>
      <c r="G135" s="930">
        <v>0</v>
      </c>
      <c r="H135" s="930">
        <f t="shared" si="4"/>
        <v>0</v>
      </c>
    </row>
    <row r="136" spans="1:8" x14ac:dyDescent="0.25">
      <c r="A136">
        <v>7</v>
      </c>
      <c r="B136" s="942">
        <v>1343520930</v>
      </c>
      <c r="C136" t="s">
        <v>1957</v>
      </c>
      <c r="D136" s="930">
        <v>-157500</v>
      </c>
      <c r="E136" s="930">
        <v>-78720</v>
      </c>
      <c r="F136" s="930">
        <v>-39571</v>
      </c>
      <c r="G136" s="930">
        <v>0</v>
      </c>
      <c r="H136" s="930">
        <f t="shared" si="4"/>
        <v>-39571</v>
      </c>
    </row>
    <row r="137" spans="1:8" x14ac:dyDescent="0.25">
      <c r="A137">
        <v>7</v>
      </c>
      <c r="B137" s="942">
        <v>1343530930</v>
      </c>
      <c r="C137" t="s">
        <v>1956</v>
      </c>
      <c r="D137" s="930">
        <v>0</v>
      </c>
      <c r="E137" s="930">
        <v>0</v>
      </c>
      <c r="F137" s="930">
        <v>0</v>
      </c>
      <c r="G137" s="930">
        <v>0</v>
      </c>
      <c r="H137" s="930">
        <f t="shared" si="4"/>
        <v>0</v>
      </c>
    </row>
    <row r="138" spans="1:8" x14ac:dyDescent="0.25">
      <c r="A138">
        <v>7</v>
      </c>
      <c r="B138" s="942">
        <v>1343540930</v>
      </c>
      <c r="C138" t="s">
        <v>1957</v>
      </c>
      <c r="D138" s="930">
        <v>0</v>
      </c>
      <c r="E138" s="930">
        <v>0</v>
      </c>
      <c r="F138" s="930">
        <v>0</v>
      </c>
      <c r="G138" s="930">
        <v>0</v>
      </c>
      <c r="H138" s="930">
        <f t="shared" si="4"/>
        <v>0</v>
      </c>
    </row>
    <row r="139" spans="1:8" x14ac:dyDescent="0.25">
      <c r="A139">
        <v>7</v>
      </c>
      <c r="B139" s="942">
        <v>1343541930</v>
      </c>
      <c r="C139" t="s">
        <v>1265</v>
      </c>
      <c r="D139" s="930">
        <v>-79900</v>
      </c>
      <c r="E139" s="930">
        <v>-39936</v>
      </c>
      <c r="F139" s="930">
        <v>-33828</v>
      </c>
      <c r="G139" s="930">
        <v>0</v>
      </c>
      <c r="H139" s="930">
        <f t="shared" si="4"/>
        <v>-33828</v>
      </c>
    </row>
    <row r="140" spans="1:8" x14ac:dyDescent="0.25">
      <c r="A140">
        <v>7</v>
      </c>
      <c r="B140" s="942">
        <v>1343542930</v>
      </c>
      <c r="C140" t="s">
        <v>814</v>
      </c>
      <c r="D140" s="930">
        <v>-750</v>
      </c>
      <c r="E140" s="930">
        <v>-372</v>
      </c>
      <c r="F140" s="930">
        <v>0</v>
      </c>
      <c r="G140" s="930">
        <v>0</v>
      </c>
      <c r="H140" s="930">
        <f t="shared" si="4"/>
        <v>0</v>
      </c>
    </row>
    <row r="141" spans="1:8" x14ac:dyDescent="0.25">
      <c r="A141">
        <v>7</v>
      </c>
      <c r="B141" s="942">
        <v>1343550930</v>
      </c>
      <c r="C141" t="s">
        <v>1956</v>
      </c>
      <c r="D141" s="930">
        <v>0</v>
      </c>
      <c r="E141" s="930">
        <v>0</v>
      </c>
      <c r="F141" s="930">
        <v>0</v>
      </c>
      <c r="G141" s="930">
        <v>0</v>
      </c>
      <c r="H141" s="930">
        <f t="shared" si="4"/>
        <v>0</v>
      </c>
    </row>
    <row r="142" spans="1:8" x14ac:dyDescent="0.25">
      <c r="A142">
        <v>7</v>
      </c>
      <c r="B142" s="942">
        <v>1343800930</v>
      </c>
      <c r="C142" t="s">
        <v>1958</v>
      </c>
      <c r="D142" s="930">
        <v>-218396</v>
      </c>
      <c r="E142" s="930">
        <v>-109152</v>
      </c>
      <c r="F142" s="930">
        <v>0</v>
      </c>
      <c r="G142" s="930">
        <v>0</v>
      </c>
      <c r="H142" s="930">
        <f t="shared" si="4"/>
        <v>0</v>
      </c>
    </row>
    <row r="143" spans="1:8" x14ac:dyDescent="0.25">
      <c r="A143">
        <v>7</v>
      </c>
      <c r="B143" s="942">
        <v>1343810930</v>
      </c>
      <c r="C143" t="s">
        <v>1266</v>
      </c>
      <c r="D143" s="930">
        <v>0</v>
      </c>
      <c r="E143" s="930">
        <v>0</v>
      </c>
      <c r="F143" s="930">
        <v>0</v>
      </c>
      <c r="G143" s="930">
        <v>0</v>
      </c>
      <c r="H143" s="930">
        <f t="shared" si="4"/>
        <v>0</v>
      </c>
    </row>
    <row r="144" spans="1:8" x14ac:dyDescent="0.25">
      <c r="A144">
        <v>7</v>
      </c>
      <c r="B144" s="942">
        <v>1343817930</v>
      </c>
      <c r="C144" t="s">
        <v>818</v>
      </c>
      <c r="D144" s="930">
        <v>-154918</v>
      </c>
      <c r="E144" s="930">
        <v>-77430</v>
      </c>
      <c r="F144" s="930">
        <v>-51586</v>
      </c>
      <c r="G144" s="930">
        <v>0</v>
      </c>
      <c r="H144" s="930">
        <f t="shared" si="4"/>
        <v>-51586</v>
      </c>
    </row>
    <row r="145" spans="1:8" x14ac:dyDescent="0.25">
      <c r="A145">
        <v>7</v>
      </c>
      <c r="B145" s="942">
        <v>1343900930</v>
      </c>
      <c r="C145" t="s">
        <v>1267</v>
      </c>
      <c r="D145" s="930">
        <v>-485100</v>
      </c>
      <c r="E145" s="930">
        <v>-242454</v>
      </c>
      <c r="F145" s="930">
        <v>-388897</v>
      </c>
      <c r="G145" s="930">
        <v>0</v>
      </c>
      <c r="H145" s="930">
        <f t="shared" si="4"/>
        <v>-388897</v>
      </c>
    </row>
    <row r="146" spans="1:8" x14ac:dyDescent="0.25">
      <c r="A146">
        <v>7</v>
      </c>
      <c r="B146" s="942">
        <v>1343910930</v>
      </c>
      <c r="C146" t="s">
        <v>1959</v>
      </c>
      <c r="D146" s="930">
        <v>0</v>
      </c>
      <c r="E146" s="930">
        <v>0</v>
      </c>
      <c r="F146" s="930">
        <v>0</v>
      </c>
      <c r="G146" s="930">
        <v>0</v>
      </c>
      <c r="H146" s="930">
        <f t="shared" si="4"/>
        <v>0</v>
      </c>
    </row>
    <row r="147" spans="1:8" x14ac:dyDescent="0.25">
      <c r="A147">
        <v>7</v>
      </c>
      <c r="B147" s="942">
        <v>1344300930</v>
      </c>
      <c r="C147" t="s">
        <v>1960</v>
      </c>
      <c r="D147" s="930">
        <v>0</v>
      </c>
      <c r="E147" s="930">
        <v>0</v>
      </c>
      <c r="F147" s="930">
        <v>0</v>
      </c>
      <c r="G147" s="930">
        <v>0</v>
      </c>
      <c r="H147" s="930">
        <f t="shared" si="4"/>
        <v>0</v>
      </c>
    </row>
    <row r="148" spans="1:8" x14ac:dyDescent="0.25">
      <c r="A148">
        <v>7</v>
      </c>
      <c r="B148" s="942">
        <v>1344310930</v>
      </c>
      <c r="C148" t="s">
        <v>1961</v>
      </c>
      <c r="D148" s="930">
        <v>-40358</v>
      </c>
      <c r="E148" s="930">
        <v>-20172</v>
      </c>
      <c r="F148" s="930">
        <v>-29164</v>
      </c>
      <c r="G148" s="930">
        <v>0</v>
      </c>
      <c r="H148" s="930">
        <f t="shared" si="4"/>
        <v>-29164</v>
      </c>
    </row>
    <row r="149" spans="1:8" x14ac:dyDescent="0.25">
      <c r="A149">
        <v>7</v>
      </c>
      <c r="B149" s="942">
        <v>1344320930</v>
      </c>
      <c r="C149" t="s">
        <v>825</v>
      </c>
      <c r="D149" s="930">
        <v>-40000</v>
      </c>
      <c r="E149" s="930">
        <v>-19992</v>
      </c>
      <c r="F149" s="930">
        <v>-10332</v>
      </c>
      <c r="G149" s="930">
        <v>0</v>
      </c>
      <c r="H149" s="930">
        <f t="shared" si="4"/>
        <v>-10332</v>
      </c>
    </row>
    <row r="150" spans="1:8" x14ac:dyDescent="0.25">
      <c r="A150">
        <v>7</v>
      </c>
      <c r="B150" s="942">
        <v>1344400930</v>
      </c>
      <c r="C150" t="s">
        <v>1271</v>
      </c>
      <c r="D150" s="930">
        <v>-7000</v>
      </c>
      <c r="E150" s="930">
        <v>-3498</v>
      </c>
      <c r="F150" s="930">
        <v>0</v>
      </c>
      <c r="G150" s="930">
        <v>0</v>
      </c>
      <c r="H150" s="930">
        <f t="shared" si="4"/>
        <v>0</v>
      </c>
    </row>
    <row r="151" spans="1:8" x14ac:dyDescent="0.25">
      <c r="A151">
        <v>7</v>
      </c>
      <c r="B151" s="942">
        <v>1344410930</v>
      </c>
      <c r="C151" t="s">
        <v>1272</v>
      </c>
      <c r="D151" s="930">
        <v>-62000</v>
      </c>
      <c r="E151" s="930">
        <v>-30990</v>
      </c>
      <c r="F151" s="930">
        <v>-33493</v>
      </c>
      <c r="G151" s="930">
        <v>0</v>
      </c>
      <c r="H151" s="930">
        <f t="shared" si="4"/>
        <v>-33493</v>
      </c>
    </row>
    <row r="152" spans="1:8" x14ac:dyDescent="0.25">
      <c r="A152">
        <v>7</v>
      </c>
      <c r="B152" s="942">
        <v>1344430930</v>
      </c>
      <c r="C152" t="s">
        <v>1272</v>
      </c>
      <c r="D152" s="930">
        <v>0</v>
      </c>
      <c r="E152" s="930">
        <v>0</v>
      </c>
      <c r="F152" s="930">
        <v>0</v>
      </c>
      <c r="G152" s="930">
        <v>0</v>
      </c>
      <c r="H152" s="930">
        <f t="shared" si="4"/>
        <v>0</v>
      </c>
    </row>
    <row r="153" spans="1:8" x14ac:dyDescent="0.25">
      <c r="A153">
        <v>7</v>
      </c>
      <c r="B153" s="942">
        <v>1344431930</v>
      </c>
      <c r="C153" t="s">
        <v>1962</v>
      </c>
      <c r="D153" s="930">
        <v>0</v>
      </c>
      <c r="E153" s="930">
        <v>0</v>
      </c>
      <c r="F153" s="930">
        <v>0</v>
      </c>
      <c r="G153" s="930">
        <v>0</v>
      </c>
      <c r="H153" s="930">
        <f t="shared" si="4"/>
        <v>0</v>
      </c>
    </row>
    <row r="154" spans="1:8" x14ac:dyDescent="0.25">
      <c r="A154">
        <v>7</v>
      </c>
      <c r="B154" s="942">
        <v>1344440930</v>
      </c>
      <c r="C154" t="s">
        <v>1963</v>
      </c>
      <c r="D154" s="930">
        <v>-23500</v>
      </c>
      <c r="E154" s="930">
        <v>-11748</v>
      </c>
      <c r="F154" s="930">
        <v>-18163</v>
      </c>
      <c r="G154" s="930">
        <v>0</v>
      </c>
      <c r="H154" s="930">
        <f t="shared" si="4"/>
        <v>-18163</v>
      </c>
    </row>
    <row r="155" spans="1:8" x14ac:dyDescent="0.25">
      <c r="A155">
        <v>7</v>
      </c>
      <c r="B155" s="942">
        <v>1344450930</v>
      </c>
      <c r="C155" t="s">
        <v>1274</v>
      </c>
      <c r="D155" s="930">
        <v>-40000</v>
      </c>
      <c r="E155" s="930">
        <v>-19992</v>
      </c>
      <c r="F155" s="930">
        <v>0</v>
      </c>
      <c r="G155" s="930">
        <v>0</v>
      </c>
      <c r="H155" s="930">
        <f t="shared" si="4"/>
        <v>0</v>
      </c>
    </row>
    <row r="156" spans="1:8" x14ac:dyDescent="0.25">
      <c r="A156">
        <v>7</v>
      </c>
      <c r="B156" s="942">
        <v>1344490930</v>
      </c>
      <c r="C156" t="s">
        <v>1275</v>
      </c>
      <c r="D156" s="930">
        <v>-48000</v>
      </c>
      <c r="E156" s="930">
        <v>-23988</v>
      </c>
      <c r="F156" s="930">
        <v>-7080</v>
      </c>
      <c r="G156" s="930">
        <v>0</v>
      </c>
      <c r="H156" s="930">
        <f t="shared" si="4"/>
        <v>-7080</v>
      </c>
    </row>
    <row r="157" spans="1:8" x14ac:dyDescent="0.25">
      <c r="A157">
        <v>7</v>
      </c>
      <c r="B157" s="942">
        <v>1344500930</v>
      </c>
      <c r="C157" t="s">
        <v>1276</v>
      </c>
      <c r="D157" s="930">
        <v>0</v>
      </c>
      <c r="E157" s="930">
        <v>0</v>
      </c>
      <c r="F157" s="930">
        <v>0</v>
      </c>
      <c r="G157" s="930">
        <v>0</v>
      </c>
      <c r="H157" s="930">
        <f t="shared" si="4"/>
        <v>0</v>
      </c>
    </row>
    <row r="158" spans="1:8" x14ac:dyDescent="0.25">
      <c r="A158">
        <v>7</v>
      </c>
      <c r="B158" s="942">
        <v>1344510930</v>
      </c>
      <c r="C158" t="s">
        <v>1964</v>
      </c>
      <c r="D158" s="930">
        <v>-114900</v>
      </c>
      <c r="E158" s="930">
        <v>-57426</v>
      </c>
      <c r="F158" s="930">
        <v>-55391</v>
      </c>
      <c r="G158" s="930">
        <v>0</v>
      </c>
      <c r="H158" s="930">
        <f t="shared" si="4"/>
        <v>-55391</v>
      </c>
    </row>
    <row r="159" spans="1:8" x14ac:dyDescent="0.25">
      <c r="A159">
        <v>7</v>
      </c>
      <c r="B159" s="942">
        <v>1344512930</v>
      </c>
      <c r="C159" t="s">
        <v>1277</v>
      </c>
      <c r="D159" s="930">
        <v>-137655</v>
      </c>
      <c r="E159" s="930">
        <v>-68802</v>
      </c>
      <c r="F159" s="930">
        <v>-88274</v>
      </c>
      <c r="G159" s="930">
        <v>0</v>
      </c>
      <c r="H159" s="930">
        <f t="shared" si="4"/>
        <v>-88274</v>
      </c>
    </row>
    <row r="160" spans="1:8" x14ac:dyDescent="0.25">
      <c r="A160">
        <v>7</v>
      </c>
      <c r="B160" s="942">
        <v>1344520930</v>
      </c>
      <c r="C160" t="s">
        <v>1277</v>
      </c>
      <c r="D160" s="930">
        <v>0</v>
      </c>
      <c r="E160" s="930">
        <v>0</v>
      </c>
      <c r="F160" s="930">
        <v>0</v>
      </c>
      <c r="G160" s="930">
        <v>0</v>
      </c>
      <c r="H160" s="930">
        <f t="shared" si="4"/>
        <v>0</v>
      </c>
    </row>
    <row r="161" spans="1:8" x14ac:dyDescent="0.25">
      <c r="A161">
        <v>7</v>
      </c>
      <c r="B161" s="942">
        <v>1345100930</v>
      </c>
      <c r="C161" t="s">
        <v>1965</v>
      </c>
      <c r="D161" s="930">
        <v>0</v>
      </c>
      <c r="E161" s="930">
        <v>0</v>
      </c>
      <c r="F161" s="930">
        <v>0</v>
      </c>
      <c r="G161" s="930">
        <v>0</v>
      </c>
      <c r="H161" s="930">
        <f t="shared" si="4"/>
        <v>0</v>
      </c>
    </row>
    <row r="162" spans="1:8" x14ac:dyDescent="0.25">
      <c r="A162">
        <v>7</v>
      </c>
      <c r="B162" s="942">
        <v>1345110930</v>
      </c>
      <c r="C162" t="s">
        <v>1966</v>
      </c>
      <c r="D162" s="930">
        <v>-720360</v>
      </c>
      <c r="E162" s="930">
        <v>-360036</v>
      </c>
      <c r="F162" s="930">
        <v>-523982</v>
      </c>
      <c r="G162" s="930">
        <v>0</v>
      </c>
      <c r="H162" s="930">
        <f t="shared" si="4"/>
        <v>-523982</v>
      </c>
    </row>
    <row r="163" spans="1:8" x14ac:dyDescent="0.25">
      <c r="A163">
        <v>7</v>
      </c>
      <c r="B163" s="942">
        <v>1345111930</v>
      </c>
      <c r="C163" t="s">
        <v>1967</v>
      </c>
      <c r="D163" s="930">
        <v>0</v>
      </c>
      <c r="E163" s="930">
        <v>0</v>
      </c>
      <c r="F163" s="930">
        <v>0</v>
      </c>
      <c r="G163" s="930">
        <v>0</v>
      </c>
      <c r="H163" s="930">
        <f t="shared" si="4"/>
        <v>0</v>
      </c>
    </row>
    <row r="164" spans="1:8" x14ac:dyDescent="0.25">
      <c r="A164">
        <v>7</v>
      </c>
      <c r="B164" s="942">
        <v>1345120930</v>
      </c>
      <c r="C164" t="s">
        <v>1968</v>
      </c>
      <c r="D164" s="930">
        <v>-128043</v>
      </c>
      <c r="E164" s="930">
        <v>-63996</v>
      </c>
      <c r="F164" s="930">
        <v>-59850</v>
      </c>
      <c r="G164" s="930">
        <v>0</v>
      </c>
      <c r="H164" s="930">
        <f t="shared" si="4"/>
        <v>-59850</v>
      </c>
    </row>
    <row r="165" spans="1:8" x14ac:dyDescent="0.25">
      <c r="A165">
        <v>7</v>
      </c>
      <c r="B165" s="942">
        <v>1345130930</v>
      </c>
      <c r="C165" t="s">
        <v>1968</v>
      </c>
      <c r="D165" s="930">
        <v>0</v>
      </c>
      <c r="E165" s="930">
        <v>0</v>
      </c>
      <c r="F165" s="930">
        <v>0</v>
      </c>
      <c r="G165" s="930">
        <v>0</v>
      </c>
      <c r="H165" s="930">
        <f t="shared" si="4"/>
        <v>0</v>
      </c>
    </row>
    <row r="166" spans="1:8" x14ac:dyDescent="0.25">
      <c r="A166">
        <v>7</v>
      </c>
      <c r="B166" s="942">
        <v>1345140930</v>
      </c>
      <c r="C166" t="s">
        <v>1969</v>
      </c>
      <c r="D166" s="930">
        <v>-11500</v>
      </c>
      <c r="E166" s="930">
        <v>-5748</v>
      </c>
      <c r="F166" s="930">
        <v>-7797</v>
      </c>
      <c r="G166" s="930">
        <v>0</v>
      </c>
      <c r="H166" s="930">
        <f t="shared" si="4"/>
        <v>-7797</v>
      </c>
    </row>
    <row r="167" spans="1:8" x14ac:dyDescent="0.25">
      <c r="A167">
        <v>7</v>
      </c>
      <c r="B167" s="942">
        <v>1345141930</v>
      </c>
      <c r="C167" t="s">
        <v>838</v>
      </c>
      <c r="D167" s="930">
        <v>-1500</v>
      </c>
      <c r="E167" s="930">
        <v>-750</v>
      </c>
      <c r="F167" s="930">
        <v>0</v>
      </c>
      <c r="G167" s="930">
        <v>0</v>
      </c>
      <c r="H167" s="930">
        <f t="shared" si="4"/>
        <v>0</v>
      </c>
    </row>
    <row r="168" spans="1:8" x14ac:dyDescent="0.25">
      <c r="A168">
        <v>7</v>
      </c>
      <c r="B168" s="942">
        <v>1345143930</v>
      </c>
      <c r="C168" t="s">
        <v>1970</v>
      </c>
      <c r="D168" s="930">
        <v>0</v>
      </c>
      <c r="E168" s="930">
        <v>0</v>
      </c>
      <c r="F168" s="930">
        <v>0</v>
      </c>
      <c r="G168" s="930">
        <v>0</v>
      </c>
      <c r="H168" s="930">
        <f t="shared" si="4"/>
        <v>0</v>
      </c>
    </row>
    <row r="169" spans="1:8" x14ac:dyDescent="0.25">
      <c r="A169">
        <v>7</v>
      </c>
      <c r="B169" s="942">
        <v>1345160930</v>
      </c>
      <c r="C169" t="s">
        <v>1968</v>
      </c>
      <c r="D169" s="930">
        <v>0</v>
      </c>
      <c r="E169" s="930">
        <v>0</v>
      </c>
      <c r="F169" s="930">
        <v>0</v>
      </c>
      <c r="G169" s="930">
        <v>0</v>
      </c>
      <c r="H169" s="930">
        <f t="shared" si="4"/>
        <v>0</v>
      </c>
    </row>
    <row r="170" spans="1:8" x14ac:dyDescent="0.25">
      <c r="A170">
        <v>7</v>
      </c>
      <c r="B170" s="942">
        <v>1345200930</v>
      </c>
      <c r="C170" t="s">
        <v>1971</v>
      </c>
      <c r="D170" s="930">
        <v>0</v>
      </c>
      <c r="E170" s="930">
        <v>0</v>
      </c>
      <c r="F170" s="930">
        <v>0</v>
      </c>
      <c r="G170" s="930">
        <v>0</v>
      </c>
      <c r="H170" s="930">
        <f t="shared" si="4"/>
        <v>0</v>
      </c>
    </row>
    <row r="171" spans="1:8" x14ac:dyDescent="0.25">
      <c r="A171">
        <v>7</v>
      </c>
      <c r="B171" s="942">
        <v>1345220930</v>
      </c>
      <c r="C171" t="s">
        <v>1972</v>
      </c>
      <c r="D171" s="930">
        <v>-232155</v>
      </c>
      <c r="E171" s="930">
        <v>-116034</v>
      </c>
      <c r="F171" s="930">
        <v>-104908</v>
      </c>
      <c r="G171" s="930">
        <v>0</v>
      </c>
      <c r="H171" s="930">
        <f t="shared" si="4"/>
        <v>-104908</v>
      </c>
    </row>
    <row r="172" spans="1:8" x14ac:dyDescent="0.25">
      <c r="A172">
        <v>7</v>
      </c>
      <c r="B172" s="942">
        <v>1345240930</v>
      </c>
      <c r="C172" t="s">
        <v>1973</v>
      </c>
      <c r="D172" s="930">
        <v>-181296</v>
      </c>
      <c r="E172" s="930">
        <v>-90612</v>
      </c>
      <c r="F172" s="930">
        <v>-52594</v>
      </c>
      <c r="G172" s="930">
        <v>0</v>
      </c>
      <c r="H172" s="930">
        <f t="shared" si="4"/>
        <v>-52594</v>
      </c>
    </row>
    <row r="173" spans="1:8" x14ac:dyDescent="0.25">
      <c r="A173">
        <v>7</v>
      </c>
      <c r="B173" s="942">
        <v>1345270930</v>
      </c>
      <c r="C173" t="s">
        <v>1974</v>
      </c>
      <c r="D173" s="930">
        <v>0</v>
      </c>
      <c r="E173" s="930">
        <v>0</v>
      </c>
      <c r="F173" s="930">
        <v>-69389</v>
      </c>
      <c r="G173" s="930">
        <v>0</v>
      </c>
      <c r="H173" s="930">
        <f t="shared" si="4"/>
        <v>-69389</v>
      </c>
    </row>
    <row r="174" spans="1:8" x14ac:dyDescent="0.25">
      <c r="A174">
        <v>7</v>
      </c>
      <c r="B174" s="942">
        <v>1345301930</v>
      </c>
      <c r="C174" t="s">
        <v>1975</v>
      </c>
      <c r="D174" s="930">
        <v>-59600</v>
      </c>
      <c r="E174" s="930">
        <v>-29790</v>
      </c>
      <c r="F174" s="930">
        <v>-30644</v>
      </c>
      <c r="G174" s="930">
        <v>0</v>
      </c>
      <c r="H174" s="930">
        <f t="shared" si="4"/>
        <v>-30644</v>
      </c>
    </row>
    <row r="175" spans="1:8" x14ac:dyDescent="0.25">
      <c r="A175">
        <v>7</v>
      </c>
      <c r="B175" s="942">
        <v>1345310930</v>
      </c>
      <c r="C175" t="s">
        <v>847</v>
      </c>
      <c r="D175" s="930">
        <v>-4080</v>
      </c>
      <c r="E175" s="930">
        <v>-2040</v>
      </c>
      <c r="F175" s="930">
        <v>-2598</v>
      </c>
      <c r="G175" s="930">
        <v>0</v>
      </c>
      <c r="H175" s="930">
        <f t="shared" si="4"/>
        <v>-2598</v>
      </c>
    </row>
    <row r="176" spans="1:8" x14ac:dyDescent="0.25">
      <c r="A176">
        <v>7</v>
      </c>
      <c r="B176" s="942">
        <v>1345320930</v>
      </c>
      <c r="C176" t="s">
        <v>1976</v>
      </c>
      <c r="D176" s="930">
        <v>0</v>
      </c>
      <c r="E176" s="930">
        <v>0</v>
      </c>
      <c r="F176" s="930">
        <v>0</v>
      </c>
      <c r="G176" s="930">
        <v>0</v>
      </c>
      <c r="H176" s="930">
        <f t="shared" si="4"/>
        <v>0</v>
      </c>
    </row>
    <row r="177" spans="1:8" x14ac:dyDescent="0.25">
      <c r="A177">
        <v>7</v>
      </c>
      <c r="B177" s="942">
        <v>1345330930</v>
      </c>
      <c r="C177" t="s">
        <v>1977</v>
      </c>
      <c r="D177" s="930">
        <v>-400</v>
      </c>
      <c r="E177" s="930">
        <v>-198</v>
      </c>
      <c r="F177" s="930">
        <v>0</v>
      </c>
      <c r="G177" s="930">
        <v>0</v>
      </c>
      <c r="H177" s="930">
        <f t="shared" si="4"/>
        <v>0</v>
      </c>
    </row>
    <row r="178" spans="1:8" x14ac:dyDescent="0.25">
      <c r="A178">
        <v>7</v>
      </c>
      <c r="B178" s="942">
        <v>1345331930</v>
      </c>
      <c r="C178" t="s">
        <v>1978</v>
      </c>
      <c r="D178" s="930">
        <v>0</v>
      </c>
      <c r="E178" s="930">
        <v>0</v>
      </c>
      <c r="F178" s="930">
        <v>0</v>
      </c>
      <c r="G178" s="930">
        <v>0</v>
      </c>
      <c r="H178" s="930">
        <f t="shared" si="4"/>
        <v>0</v>
      </c>
    </row>
    <row r="179" spans="1:8" x14ac:dyDescent="0.25">
      <c r="A179">
        <v>7</v>
      </c>
      <c r="B179" s="942">
        <v>1346320930</v>
      </c>
      <c r="C179" t="s">
        <v>1979</v>
      </c>
      <c r="D179" s="930">
        <v>0</v>
      </c>
      <c r="E179" s="930">
        <v>0</v>
      </c>
      <c r="F179" s="930">
        <v>0</v>
      </c>
      <c r="G179" s="930">
        <v>0</v>
      </c>
      <c r="H179" s="930">
        <f t="shared" si="4"/>
        <v>0</v>
      </c>
    </row>
    <row r="180" spans="1:8" x14ac:dyDescent="0.25">
      <c r="A180">
        <v>7</v>
      </c>
      <c r="B180" s="942">
        <v>1346330930</v>
      </c>
      <c r="C180" t="s">
        <v>1979</v>
      </c>
      <c r="D180" s="930">
        <v>0</v>
      </c>
      <c r="E180" s="930">
        <v>0</v>
      </c>
      <c r="F180" s="930">
        <v>0</v>
      </c>
      <c r="G180" s="930">
        <v>0</v>
      </c>
      <c r="H180" s="930">
        <f t="shared" si="4"/>
        <v>0</v>
      </c>
    </row>
    <row r="181" spans="1:8" x14ac:dyDescent="0.25">
      <c r="A181">
        <v>7</v>
      </c>
      <c r="B181" s="942">
        <v>1346500930</v>
      </c>
      <c r="C181" t="s">
        <v>1980</v>
      </c>
      <c r="D181" s="930">
        <v>-139158</v>
      </c>
      <c r="E181" s="930">
        <v>-69552</v>
      </c>
      <c r="F181" s="930">
        <v>-100422</v>
      </c>
      <c r="G181" s="930">
        <v>0</v>
      </c>
      <c r="H181" s="930">
        <f t="shared" si="4"/>
        <v>-100422</v>
      </c>
    </row>
    <row r="182" spans="1:8" x14ac:dyDescent="0.25">
      <c r="A182">
        <v>7</v>
      </c>
      <c r="B182" s="942">
        <v>1346510930</v>
      </c>
      <c r="C182" t="s">
        <v>1981</v>
      </c>
      <c r="D182" s="930">
        <v>0</v>
      </c>
      <c r="E182" s="930">
        <v>0</v>
      </c>
      <c r="F182" s="930">
        <v>0</v>
      </c>
      <c r="G182" s="930">
        <v>0</v>
      </c>
      <c r="H182" s="930">
        <f t="shared" si="4"/>
        <v>0</v>
      </c>
    </row>
    <row r="183" spans="1:8" x14ac:dyDescent="0.25">
      <c r="A183">
        <v>7</v>
      </c>
      <c r="B183" s="942">
        <v>1346540930</v>
      </c>
      <c r="C183" t="s">
        <v>1982</v>
      </c>
      <c r="D183" s="930">
        <v>0</v>
      </c>
      <c r="E183" s="930">
        <v>0</v>
      </c>
      <c r="F183" s="930">
        <v>0</v>
      </c>
      <c r="G183" s="930">
        <v>0</v>
      </c>
      <c r="H183" s="930">
        <f t="shared" si="4"/>
        <v>0</v>
      </c>
    </row>
    <row r="184" spans="1:8" x14ac:dyDescent="0.25">
      <c r="A184">
        <v>7</v>
      </c>
      <c r="B184" s="942">
        <v>1346610930</v>
      </c>
      <c r="C184" t="s">
        <v>853</v>
      </c>
      <c r="D184" s="930">
        <v>-12358</v>
      </c>
      <c r="E184" s="930">
        <v>-6174</v>
      </c>
      <c r="F184" s="930">
        <v>-5817</v>
      </c>
      <c r="G184" s="930">
        <v>0</v>
      </c>
      <c r="H184" s="930">
        <f t="shared" si="4"/>
        <v>-5817</v>
      </c>
    </row>
    <row r="185" spans="1:8" x14ac:dyDescent="0.25">
      <c r="A185">
        <v>7</v>
      </c>
      <c r="B185" s="942">
        <v>1346611930</v>
      </c>
      <c r="C185" t="s">
        <v>1291</v>
      </c>
      <c r="D185" s="930">
        <v>-3000</v>
      </c>
      <c r="E185" s="930">
        <v>-1500</v>
      </c>
      <c r="F185" s="930">
        <v>-2346</v>
      </c>
      <c r="G185" s="930">
        <v>0</v>
      </c>
      <c r="H185" s="930">
        <f t="shared" si="4"/>
        <v>-2346</v>
      </c>
    </row>
    <row r="186" spans="1:8" x14ac:dyDescent="0.25">
      <c r="A186">
        <v>7</v>
      </c>
      <c r="B186" s="942">
        <v>1346612930</v>
      </c>
      <c r="C186" t="s">
        <v>1983</v>
      </c>
      <c r="D186" s="930">
        <v>0</v>
      </c>
      <c r="E186" s="930">
        <v>0</v>
      </c>
      <c r="F186" s="930">
        <v>-4624</v>
      </c>
      <c r="G186" s="930">
        <v>0</v>
      </c>
      <c r="H186" s="930">
        <f t="shared" ref="H186:H212" si="5">F186+G186</f>
        <v>-4624</v>
      </c>
    </row>
    <row r="187" spans="1:8" x14ac:dyDescent="0.25">
      <c r="A187">
        <v>7</v>
      </c>
      <c r="B187" s="942">
        <v>1346700930</v>
      </c>
      <c r="C187" t="s">
        <v>1292</v>
      </c>
      <c r="D187" s="930">
        <v>-34587</v>
      </c>
      <c r="E187" s="930">
        <v>-17286</v>
      </c>
      <c r="F187" s="930">
        <v>-15033</v>
      </c>
      <c r="G187" s="930">
        <v>0</v>
      </c>
      <c r="H187" s="930">
        <f t="shared" si="5"/>
        <v>-15033</v>
      </c>
    </row>
    <row r="188" spans="1:8" x14ac:dyDescent="0.25">
      <c r="A188">
        <v>7</v>
      </c>
      <c r="B188" s="942">
        <v>1346705930</v>
      </c>
      <c r="C188" t="s">
        <v>856</v>
      </c>
      <c r="D188" s="930">
        <v>-74400</v>
      </c>
      <c r="E188" s="930">
        <v>-37188</v>
      </c>
      <c r="F188" s="930">
        <v>0</v>
      </c>
      <c r="G188" s="930">
        <v>0</v>
      </c>
      <c r="H188" s="930">
        <f t="shared" si="5"/>
        <v>0</v>
      </c>
    </row>
    <row r="189" spans="1:8" x14ac:dyDescent="0.25">
      <c r="A189">
        <v>7</v>
      </c>
      <c r="B189" s="942">
        <v>1346710930</v>
      </c>
      <c r="C189" t="s">
        <v>1292</v>
      </c>
      <c r="D189" s="930">
        <v>0</v>
      </c>
      <c r="E189" s="930">
        <v>0</v>
      </c>
      <c r="F189" s="930">
        <v>0</v>
      </c>
      <c r="G189" s="930">
        <v>0</v>
      </c>
      <c r="H189" s="930">
        <f t="shared" si="5"/>
        <v>0</v>
      </c>
    </row>
    <row r="190" spans="1:8" x14ac:dyDescent="0.25">
      <c r="A190">
        <v>7</v>
      </c>
      <c r="B190" s="942">
        <v>1346713930</v>
      </c>
      <c r="C190" t="s">
        <v>856</v>
      </c>
      <c r="D190" s="930">
        <v>0</v>
      </c>
      <c r="E190" s="930">
        <v>0</v>
      </c>
      <c r="F190" s="930">
        <v>0</v>
      </c>
      <c r="G190" s="930">
        <v>0</v>
      </c>
      <c r="H190" s="930">
        <f t="shared" si="5"/>
        <v>0</v>
      </c>
    </row>
    <row r="191" spans="1:8" x14ac:dyDescent="0.25">
      <c r="A191">
        <v>7</v>
      </c>
      <c r="B191" s="942">
        <v>1346714930</v>
      </c>
      <c r="C191" t="s">
        <v>857</v>
      </c>
      <c r="D191" s="930">
        <v>-7430</v>
      </c>
      <c r="E191" s="930">
        <v>-3714</v>
      </c>
      <c r="F191" s="930">
        <v>0</v>
      </c>
      <c r="G191" s="930">
        <v>0</v>
      </c>
      <c r="H191" s="930">
        <f t="shared" si="5"/>
        <v>0</v>
      </c>
    </row>
    <row r="192" spans="1:8" x14ac:dyDescent="0.25">
      <c r="A192">
        <v>7</v>
      </c>
      <c r="B192" s="942">
        <v>1346730930</v>
      </c>
      <c r="C192" t="s">
        <v>858</v>
      </c>
      <c r="D192" s="930">
        <v>-5000</v>
      </c>
      <c r="E192" s="930">
        <v>-2502</v>
      </c>
      <c r="F192" s="930">
        <v>0</v>
      </c>
      <c r="G192" s="930">
        <v>0</v>
      </c>
      <c r="H192" s="930">
        <f t="shared" si="5"/>
        <v>0</v>
      </c>
    </row>
    <row r="193" spans="1:8" x14ac:dyDescent="0.25">
      <c r="A193">
        <v>7</v>
      </c>
      <c r="B193" s="942">
        <v>1346740930</v>
      </c>
      <c r="C193" t="s">
        <v>858</v>
      </c>
      <c r="D193" s="930">
        <v>0</v>
      </c>
      <c r="E193" s="930">
        <v>0</v>
      </c>
      <c r="F193" s="930">
        <v>0</v>
      </c>
      <c r="G193" s="930">
        <v>0</v>
      </c>
      <c r="H193" s="930">
        <f t="shared" si="5"/>
        <v>0</v>
      </c>
    </row>
    <row r="194" spans="1:8" x14ac:dyDescent="0.25">
      <c r="A194">
        <v>7</v>
      </c>
      <c r="B194" s="942">
        <v>1346750930</v>
      </c>
      <c r="C194" t="s">
        <v>1984</v>
      </c>
      <c r="D194" s="930">
        <v>0</v>
      </c>
      <c r="E194" s="930">
        <v>0</v>
      </c>
      <c r="F194" s="930">
        <v>0</v>
      </c>
      <c r="G194" s="930">
        <v>0</v>
      </c>
      <c r="H194" s="930">
        <f t="shared" si="5"/>
        <v>0</v>
      </c>
    </row>
    <row r="195" spans="1:8" x14ac:dyDescent="0.25">
      <c r="A195">
        <v>7</v>
      </c>
      <c r="B195" s="942">
        <v>1346800930</v>
      </c>
      <c r="C195" t="s">
        <v>1985</v>
      </c>
      <c r="D195" s="930">
        <v>-5000</v>
      </c>
      <c r="E195" s="930">
        <v>-2502</v>
      </c>
      <c r="F195" s="930">
        <v>-1925</v>
      </c>
      <c r="G195" s="930">
        <v>0</v>
      </c>
      <c r="H195" s="930">
        <f t="shared" si="5"/>
        <v>-1925</v>
      </c>
    </row>
    <row r="196" spans="1:8" x14ac:dyDescent="0.25">
      <c r="A196">
        <v>7</v>
      </c>
      <c r="B196" s="942">
        <v>1346811930</v>
      </c>
      <c r="C196" t="s">
        <v>1986</v>
      </c>
      <c r="D196" s="930">
        <v>0</v>
      </c>
      <c r="E196" s="930">
        <v>0</v>
      </c>
      <c r="F196" s="930">
        <v>0</v>
      </c>
      <c r="G196" s="930">
        <v>0</v>
      </c>
      <c r="H196" s="930">
        <f t="shared" si="5"/>
        <v>0</v>
      </c>
    </row>
    <row r="197" spans="1:8" x14ac:dyDescent="0.25">
      <c r="A197">
        <v>7</v>
      </c>
      <c r="B197" s="942">
        <v>1346820930</v>
      </c>
      <c r="C197" t="s">
        <v>1987</v>
      </c>
      <c r="D197" s="930">
        <v>0</v>
      </c>
      <c r="E197" s="930">
        <v>0</v>
      </c>
      <c r="F197" s="930">
        <v>0</v>
      </c>
      <c r="G197" s="930">
        <v>0</v>
      </c>
      <c r="H197" s="930">
        <f t="shared" si="5"/>
        <v>0</v>
      </c>
    </row>
    <row r="198" spans="1:8" x14ac:dyDescent="0.25">
      <c r="A198">
        <v>7</v>
      </c>
      <c r="B198" s="942">
        <v>1346821930</v>
      </c>
      <c r="C198" t="s">
        <v>1988</v>
      </c>
      <c r="D198" s="930">
        <v>0</v>
      </c>
      <c r="E198" s="930">
        <v>0</v>
      </c>
      <c r="F198" s="930">
        <v>-6024</v>
      </c>
      <c r="G198" s="930">
        <v>0</v>
      </c>
      <c r="H198" s="930">
        <f t="shared" si="5"/>
        <v>-6024</v>
      </c>
    </row>
    <row r="199" spans="1:8" x14ac:dyDescent="0.25">
      <c r="A199">
        <v>7</v>
      </c>
      <c r="B199" s="942">
        <v>1347100930</v>
      </c>
      <c r="C199" t="s">
        <v>1298</v>
      </c>
      <c r="D199" s="930">
        <v>-12171</v>
      </c>
      <c r="E199" s="930">
        <v>-6084</v>
      </c>
      <c r="F199" s="930">
        <v>0</v>
      </c>
      <c r="G199" s="930">
        <v>0</v>
      </c>
      <c r="H199" s="930">
        <f t="shared" si="5"/>
        <v>0</v>
      </c>
    </row>
    <row r="200" spans="1:8" x14ac:dyDescent="0.25">
      <c r="A200">
        <v>7</v>
      </c>
      <c r="B200" s="942">
        <v>1347120930</v>
      </c>
      <c r="C200" t="s">
        <v>863</v>
      </c>
      <c r="D200" s="930">
        <v>-4068</v>
      </c>
      <c r="E200" s="930">
        <v>-2034</v>
      </c>
      <c r="F200" s="930">
        <v>0</v>
      </c>
      <c r="G200" s="930">
        <v>0</v>
      </c>
      <c r="H200" s="930">
        <f t="shared" si="5"/>
        <v>0</v>
      </c>
    </row>
    <row r="201" spans="1:8" x14ac:dyDescent="0.25">
      <c r="A201">
        <v>7</v>
      </c>
      <c r="B201" s="942">
        <v>1347128930</v>
      </c>
      <c r="C201" t="s">
        <v>1989</v>
      </c>
      <c r="D201" s="930">
        <v>-55890</v>
      </c>
      <c r="E201" s="930">
        <v>-27936</v>
      </c>
      <c r="F201" s="930">
        <v>-16643</v>
      </c>
      <c r="G201" s="930">
        <v>0</v>
      </c>
      <c r="H201" s="930">
        <f t="shared" si="5"/>
        <v>-16643</v>
      </c>
    </row>
    <row r="202" spans="1:8" x14ac:dyDescent="0.25">
      <c r="A202">
        <v>7</v>
      </c>
      <c r="B202" s="942">
        <v>1347129930</v>
      </c>
      <c r="C202" t="s">
        <v>1990</v>
      </c>
      <c r="D202" s="930">
        <v>0</v>
      </c>
      <c r="E202" s="930">
        <v>0</v>
      </c>
      <c r="F202" s="930">
        <v>0</v>
      </c>
      <c r="G202" s="930">
        <v>0</v>
      </c>
      <c r="H202" s="930">
        <f t="shared" si="5"/>
        <v>0</v>
      </c>
    </row>
    <row r="203" spans="1:8" x14ac:dyDescent="0.25">
      <c r="A203">
        <v>7</v>
      </c>
      <c r="B203" s="942">
        <v>1347130930</v>
      </c>
      <c r="C203" t="s">
        <v>1990</v>
      </c>
      <c r="D203" s="930">
        <v>-917</v>
      </c>
      <c r="E203" s="930">
        <v>-456</v>
      </c>
      <c r="F203" s="930">
        <v>0</v>
      </c>
      <c r="G203" s="930">
        <v>0</v>
      </c>
      <c r="H203" s="930">
        <f t="shared" si="5"/>
        <v>0</v>
      </c>
    </row>
    <row r="204" spans="1:8" x14ac:dyDescent="0.25">
      <c r="A204">
        <v>7</v>
      </c>
      <c r="B204" s="942">
        <v>1347305930</v>
      </c>
      <c r="C204" t="s">
        <v>1991</v>
      </c>
      <c r="D204" s="930">
        <v>0</v>
      </c>
      <c r="E204" s="930">
        <v>0</v>
      </c>
      <c r="F204" s="930">
        <v>0</v>
      </c>
      <c r="G204" s="930">
        <v>0</v>
      </c>
      <c r="H204" s="930">
        <f t="shared" si="5"/>
        <v>0</v>
      </c>
    </row>
    <row r="205" spans="1:8" x14ac:dyDescent="0.25">
      <c r="A205">
        <v>7</v>
      </c>
      <c r="B205" s="942">
        <v>1347361930</v>
      </c>
      <c r="C205" t="s">
        <v>866</v>
      </c>
      <c r="D205" s="930">
        <v>-10000</v>
      </c>
      <c r="E205" s="930">
        <v>-4998</v>
      </c>
      <c r="F205" s="930">
        <v>-4414</v>
      </c>
      <c r="G205" s="930">
        <v>0</v>
      </c>
      <c r="H205" s="930">
        <f t="shared" si="5"/>
        <v>-4414</v>
      </c>
    </row>
    <row r="206" spans="1:8" x14ac:dyDescent="0.25">
      <c r="A206">
        <v>7</v>
      </c>
      <c r="B206" s="942">
        <v>1347368930</v>
      </c>
      <c r="C206" t="s">
        <v>1992</v>
      </c>
      <c r="D206" s="930">
        <v>0</v>
      </c>
      <c r="E206" s="930">
        <v>0</v>
      </c>
      <c r="F206" s="930">
        <v>0</v>
      </c>
      <c r="G206" s="930">
        <v>0</v>
      </c>
      <c r="H206" s="930">
        <f t="shared" si="5"/>
        <v>0</v>
      </c>
    </row>
    <row r="207" spans="1:8" x14ac:dyDescent="0.25">
      <c r="A207">
        <v>7</v>
      </c>
      <c r="B207" s="942">
        <v>1347411930</v>
      </c>
      <c r="C207" t="s">
        <v>1993</v>
      </c>
      <c r="D207" s="930">
        <v>0</v>
      </c>
      <c r="E207" s="930">
        <v>0</v>
      </c>
      <c r="F207" s="930">
        <v>0</v>
      </c>
      <c r="G207" s="930">
        <v>0</v>
      </c>
      <c r="H207" s="930">
        <f t="shared" si="5"/>
        <v>0</v>
      </c>
    </row>
    <row r="208" spans="1:8" x14ac:dyDescent="0.25">
      <c r="A208">
        <v>7</v>
      </c>
      <c r="B208" s="942">
        <v>1347412930</v>
      </c>
      <c r="C208" t="s">
        <v>867</v>
      </c>
      <c r="D208" s="930">
        <v>-28218</v>
      </c>
      <c r="E208" s="930">
        <v>-14106</v>
      </c>
      <c r="F208" s="930">
        <v>-8947</v>
      </c>
      <c r="G208" s="930">
        <v>0</v>
      </c>
      <c r="H208" s="930">
        <f t="shared" si="5"/>
        <v>-8947</v>
      </c>
    </row>
    <row r="209" spans="1:8" x14ac:dyDescent="0.25">
      <c r="A209">
        <v>7</v>
      </c>
      <c r="B209" s="942">
        <v>1347440930</v>
      </c>
      <c r="C209" t="s">
        <v>1993</v>
      </c>
      <c r="D209" s="930">
        <v>0</v>
      </c>
      <c r="E209" s="930">
        <v>0</v>
      </c>
      <c r="F209" s="930">
        <v>0</v>
      </c>
      <c r="G209" s="930">
        <v>0</v>
      </c>
      <c r="H209" s="930">
        <f t="shared" si="5"/>
        <v>0</v>
      </c>
    </row>
    <row r="210" spans="1:8" x14ac:dyDescent="0.25">
      <c r="A210">
        <v>7</v>
      </c>
      <c r="B210" s="942">
        <v>1348000930</v>
      </c>
      <c r="C210" t="s">
        <v>1994</v>
      </c>
      <c r="D210" s="930">
        <v>-346670</v>
      </c>
      <c r="E210" s="930">
        <v>-173268</v>
      </c>
      <c r="F210" s="930">
        <v>-119896</v>
      </c>
      <c r="G210" s="930">
        <v>0</v>
      </c>
      <c r="H210" s="930">
        <f t="shared" si="5"/>
        <v>-119896</v>
      </c>
    </row>
    <row r="211" spans="1:8" x14ac:dyDescent="0.25">
      <c r="A211">
        <v>7</v>
      </c>
      <c r="B211" s="942">
        <v>1349000840</v>
      </c>
      <c r="C211" t="s">
        <v>1995</v>
      </c>
      <c r="D211" s="930">
        <v>0</v>
      </c>
      <c r="E211" s="930">
        <v>0</v>
      </c>
      <c r="F211" s="930">
        <v>0</v>
      </c>
      <c r="G211" s="930">
        <v>0</v>
      </c>
      <c r="H211" s="930">
        <f t="shared" si="5"/>
        <v>0</v>
      </c>
    </row>
    <row r="212" spans="1:8" x14ac:dyDescent="0.25">
      <c r="A212">
        <v>7</v>
      </c>
      <c r="B212" s="942">
        <v>1349047930</v>
      </c>
      <c r="C212" t="s">
        <v>1996</v>
      </c>
      <c r="D212" s="930">
        <v>0</v>
      </c>
      <c r="E212" s="930">
        <v>0</v>
      </c>
      <c r="F212" s="930">
        <v>0</v>
      </c>
      <c r="G212" s="930">
        <v>0</v>
      </c>
      <c r="H212" s="930">
        <f t="shared" si="5"/>
        <v>0</v>
      </c>
    </row>
    <row r="213" spans="1:8" x14ac:dyDescent="0.25">
      <c r="A213" s="945" t="s">
        <v>1997</v>
      </c>
      <c r="C213" s="944" t="s">
        <v>1998</v>
      </c>
      <c r="D213" s="930">
        <f>SUBTOTAL(9,D122:D212)</f>
        <v>-5655280</v>
      </c>
      <c r="E213" s="930">
        <f>SUBTOTAL(9,E122:E212)</f>
        <v>-2826534</v>
      </c>
      <c r="F213" s="930">
        <f>SUBTOTAL(9,F122:F212)</f>
        <v>-2444281</v>
      </c>
      <c r="G213" s="930">
        <f>SUBTOTAL(9,G122:G212)</f>
        <v>0</v>
      </c>
      <c r="H213" s="930">
        <f>SUBTOTAL(9,H122:H212)</f>
        <v>-2444281</v>
      </c>
    </row>
    <row r="214" spans="1:8" x14ac:dyDescent="0.25">
      <c r="A214">
        <v>8</v>
      </c>
      <c r="B214" s="942">
        <v>1233100990</v>
      </c>
      <c r="C214" t="s">
        <v>1999</v>
      </c>
      <c r="D214" s="930">
        <v>0</v>
      </c>
      <c r="E214" s="930">
        <v>0</v>
      </c>
      <c r="F214" s="930">
        <v>0</v>
      </c>
      <c r="G214" s="930">
        <v>0</v>
      </c>
      <c r="H214" s="930">
        <f t="shared" ref="H214:H226" si="6">F214+G214</f>
        <v>0</v>
      </c>
    </row>
    <row r="215" spans="1:8" x14ac:dyDescent="0.25">
      <c r="A215">
        <v>8</v>
      </c>
      <c r="B215" s="942">
        <v>1244000990</v>
      </c>
      <c r="C215" t="s">
        <v>1177</v>
      </c>
      <c r="D215" s="930">
        <v>-64500</v>
      </c>
      <c r="E215" s="930">
        <v>-32238</v>
      </c>
      <c r="F215" s="930">
        <v>-17000</v>
      </c>
      <c r="G215" s="930">
        <v>0</v>
      </c>
      <c r="H215" s="930">
        <f t="shared" si="6"/>
        <v>-17000</v>
      </c>
    </row>
    <row r="216" spans="1:8" x14ac:dyDescent="0.25">
      <c r="A216">
        <v>8</v>
      </c>
      <c r="B216" s="942">
        <v>1322000740</v>
      </c>
      <c r="C216" t="s">
        <v>2000</v>
      </c>
      <c r="D216" s="930">
        <v>0</v>
      </c>
      <c r="E216" s="930">
        <v>0</v>
      </c>
      <c r="F216" s="930">
        <v>0</v>
      </c>
      <c r="G216" s="930">
        <v>0</v>
      </c>
      <c r="H216" s="930">
        <f t="shared" si="6"/>
        <v>0</v>
      </c>
    </row>
    <row r="217" spans="1:8" x14ac:dyDescent="0.25">
      <c r="A217">
        <v>8</v>
      </c>
      <c r="B217" s="942">
        <v>1322000940</v>
      </c>
      <c r="C217" t="s">
        <v>2001</v>
      </c>
      <c r="D217" s="930">
        <v>0</v>
      </c>
      <c r="E217" s="930">
        <v>0</v>
      </c>
      <c r="F217" s="930">
        <v>-30000</v>
      </c>
      <c r="G217" s="930">
        <v>0</v>
      </c>
      <c r="H217" s="930">
        <f t="shared" si="6"/>
        <v>-30000</v>
      </c>
    </row>
    <row r="218" spans="1:8" x14ac:dyDescent="0.25">
      <c r="A218">
        <v>8</v>
      </c>
      <c r="B218" s="942">
        <v>1322000970</v>
      </c>
      <c r="C218" t="s">
        <v>2002</v>
      </c>
      <c r="D218" s="930">
        <v>-172000</v>
      </c>
      <c r="E218" s="930">
        <v>-85968</v>
      </c>
      <c r="F218" s="930">
        <v>-57500</v>
      </c>
      <c r="G218" s="930">
        <v>0</v>
      </c>
      <c r="H218" s="930">
        <f t="shared" si="6"/>
        <v>-57500</v>
      </c>
    </row>
    <row r="219" spans="1:8" x14ac:dyDescent="0.25">
      <c r="A219">
        <v>8</v>
      </c>
      <c r="B219" s="942">
        <v>1328200970</v>
      </c>
      <c r="C219" t="s">
        <v>2003</v>
      </c>
      <c r="D219" s="930">
        <v>-206148</v>
      </c>
      <c r="E219" s="930">
        <v>-103032</v>
      </c>
      <c r="F219" s="930">
        <v>0</v>
      </c>
      <c r="G219" s="930">
        <v>0</v>
      </c>
      <c r="H219" s="930">
        <f t="shared" si="6"/>
        <v>0</v>
      </c>
    </row>
    <row r="220" spans="1:8" x14ac:dyDescent="0.25">
      <c r="A220">
        <v>8</v>
      </c>
      <c r="B220" s="942">
        <v>1328300970</v>
      </c>
      <c r="C220" t="s">
        <v>772</v>
      </c>
      <c r="D220" s="930">
        <v>-90000</v>
      </c>
      <c r="E220" s="930">
        <v>-44982</v>
      </c>
      <c r="F220" s="930">
        <v>-6625</v>
      </c>
      <c r="G220" s="930">
        <v>0</v>
      </c>
      <c r="H220" s="930">
        <f t="shared" si="6"/>
        <v>-6625</v>
      </c>
    </row>
    <row r="221" spans="1:8" x14ac:dyDescent="0.25">
      <c r="A221">
        <v>8</v>
      </c>
      <c r="B221" s="942">
        <v>1329300940</v>
      </c>
      <c r="C221" t="s">
        <v>2004</v>
      </c>
      <c r="D221" s="930">
        <v>-126683</v>
      </c>
      <c r="E221" s="930">
        <v>-63318</v>
      </c>
      <c r="F221" s="930">
        <v>-55623</v>
      </c>
      <c r="G221" s="930">
        <v>0</v>
      </c>
      <c r="H221" s="930">
        <f t="shared" si="6"/>
        <v>-55623</v>
      </c>
    </row>
    <row r="222" spans="1:8" x14ac:dyDescent="0.25">
      <c r="A222">
        <v>8</v>
      </c>
      <c r="B222" s="942">
        <v>1330000990</v>
      </c>
      <c r="C222" t="s">
        <v>2005</v>
      </c>
      <c r="D222" s="930">
        <v>0</v>
      </c>
      <c r="E222" s="930">
        <v>0</v>
      </c>
      <c r="F222" s="930">
        <v>0</v>
      </c>
      <c r="G222" s="930">
        <v>0</v>
      </c>
      <c r="H222" s="930">
        <f t="shared" si="6"/>
        <v>0</v>
      </c>
    </row>
    <row r="223" spans="1:8" x14ac:dyDescent="0.25">
      <c r="A223">
        <v>8</v>
      </c>
      <c r="B223" s="942">
        <v>1350010889</v>
      </c>
      <c r="C223" t="s">
        <v>2006</v>
      </c>
      <c r="D223" s="930">
        <v>0</v>
      </c>
      <c r="E223" s="930">
        <v>0</v>
      </c>
      <c r="F223" s="930">
        <v>0</v>
      </c>
      <c r="G223" s="930">
        <v>0</v>
      </c>
      <c r="H223" s="930">
        <f t="shared" si="6"/>
        <v>0</v>
      </c>
    </row>
    <row r="224" spans="1:8" x14ac:dyDescent="0.25">
      <c r="A224">
        <v>8</v>
      </c>
      <c r="B224" s="942">
        <v>1378000940</v>
      </c>
      <c r="C224" t="s">
        <v>2007</v>
      </c>
      <c r="D224" s="930">
        <v>-120000</v>
      </c>
      <c r="E224" s="930">
        <v>-59976</v>
      </c>
      <c r="F224" s="930">
        <v>0</v>
      </c>
      <c r="G224" s="930">
        <v>0</v>
      </c>
      <c r="H224" s="930">
        <f t="shared" si="6"/>
        <v>0</v>
      </c>
    </row>
    <row r="225" spans="1:8" x14ac:dyDescent="0.25">
      <c r="A225">
        <v>8</v>
      </c>
      <c r="B225" s="942">
        <v>1379000990</v>
      </c>
      <c r="C225" t="s">
        <v>2008</v>
      </c>
      <c r="D225" s="930">
        <v>0</v>
      </c>
      <c r="E225" s="930">
        <v>0</v>
      </c>
      <c r="F225" s="930">
        <v>0</v>
      </c>
      <c r="G225" s="930">
        <v>0</v>
      </c>
      <c r="H225" s="930">
        <f t="shared" si="6"/>
        <v>0</v>
      </c>
    </row>
    <row r="226" spans="1:8" x14ac:dyDescent="0.25">
      <c r="A226">
        <v>8</v>
      </c>
      <c r="B226" s="942">
        <v>1512513920</v>
      </c>
      <c r="C226" t="s">
        <v>2009</v>
      </c>
      <c r="D226" s="930">
        <v>0</v>
      </c>
      <c r="E226" s="930">
        <v>0</v>
      </c>
      <c r="F226" s="930">
        <v>0</v>
      </c>
      <c r="G226" s="930">
        <v>0</v>
      </c>
      <c r="H226" s="930">
        <f t="shared" si="6"/>
        <v>0</v>
      </c>
    </row>
    <row r="227" spans="1:8" x14ac:dyDescent="0.25">
      <c r="A227" s="945" t="s">
        <v>2010</v>
      </c>
      <c r="C227" s="944" t="s">
        <v>2011</v>
      </c>
      <c r="D227" s="930">
        <f>SUBTOTAL(9,D214:D226)</f>
        <v>-779331</v>
      </c>
      <c r="E227" s="930">
        <f>SUBTOTAL(9,E214:E226)</f>
        <v>-389514</v>
      </c>
      <c r="F227" s="930">
        <f>SUBTOTAL(9,F214:F226)</f>
        <v>-166748</v>
      </c>
      <c r="G227" s="930">
        <f>SUBTOTAL(9,G214:G226)</f>
        <v>0</v>
      </c>
      <c r="H227" s="930">
        <f>SUBTOTAL(9,H214:H226)</f>
        <v>-166748</v>
      </c>
    </row>
    <row r="228" spans="1:8" x14ac:dyDescent="0.25">
      <c r="A228">
        <v>9</v>
      </c>
      <c r="B228" s="942">
        <v>1191000910</v>
      </c>
      <c r="C228" t="s">
        <v>2012</v>
      </c>
      <c r="D228" s="930">
        <v>-9169800</v>
      </c>
      <c r="E228" s="930">
        <v>-4583064</v>
      </c>
      <c r="F228" s="930">
        <v>-4688010.24</v>
      </c>
      <c r="G228" s="930">
        <v>0</v>
      </c>
      <c r="H228" s="930">
        <f>F228+G228</f>
        <v>-4688010.24</v>
      </c>
    </row>
    <row r="229" spans="1:8" x14ac:dyDescent="0.25">
      <c r="A229" s="945" t="s">
        <v>2013</v>
      </c>
      <c r="C229" s="944" t="s">
        <v>29</v>
      </c>
      <c r="D229" s="930">
        <f>SUBTOTAL(9,D228:D228)</f>
        <v>-9169800</v>
      </c>
      <c r="E229" s="930">
        <f>SUBTOTAL(9,E228:E228)</f>
        <v>-4583064</v>
      </c>
      <c r="F229" s="930">
        <f>SUBTOTAL(9,F228:F228)</f>
        <v>-4688010.24</v>
      </c>
      <c r="G229" s="930">
        <f>SUBTOTAL(9,G228:G228)</f>
        <v>0</v>
      </c>
      <c r="H229" s="930">
        <f>SUBTOTAL(9,H228:H228)</f>
        <v>-4688010.24</v>
      </c>
    </row>
    <row r="230" spans="1:8" x14ac:dyDescent="0.25">
      <c r="A230">
        <v>10</v>
      </c>
      <c r="B230" s="942">
        <v>1191000920</v>
      </c>
      <c r="C230" t="s">
        <v>1159</v>
      </c>
      <c r="D230" s="930">
        <v>-1618200</v>
      </c>
      <c r="E230" s="930">
        <v>-808776</v>
      </c>
      <c r="F230" s="930">
        <v>-564817</v>
      </c>
      <c r="G230" s="930">
        <v>0</v>
      </c>
      <c r="H230" s="930">
        <f>F230+G230</f>
        <v>-564817</v>
      </c>
    </row>
    <row r="231" spans="1:8" x14ac:dyDescent="0.25">
      <c r="A231" s="945" t="s">
        <v>2014</v>
      </c>
      <c r="C231" s="944" t="s">
        <v>1159</v>
      </c>
      <c r="D231" s="930">
        <f>SUBTOTAL(9,D230:D230)</f>
        <v>-1618200</v>
      </c>
      <c r="E231" s="930">
        <f>SUBTOTAL(9,E230:E230)</f>
        <v>-808776</v>
      </c>
      <c r="F231" s="930">
        <f>SUBTOTAL(9,F230:F230)</f>
        <v>-564817</v>
      </c>
      <c r="G231" s="930">
        <f>SUBTOTAL(9,G230:G230)</f>
        <v>0</v>
      </c>
      <c r="H231" s="930">
        <f>SUBTOTAL(9,H230:H230)</f>
        <v>-564817</v>
      </c>
    </row>
    <row r="232" spans="1:8" x14ac:dyDescent="0.25">
      <c r="A232">
        <v>11</v>
      </c>
      <c r="B232" s="942">
        <v>1191100910</v>
      </c>
      <c r="C232" t="s">
        <v>2015</v>
      </c>
      <c r="D232" s="930">
        <v>-1043000</v>
      </c>
      <c r="E232" s="930">
        <v>-521292</v>
      </c>
      <c r="F232" s="930">
        <v>-518500</v>
      </c>
      <c r="G232" s="930">
        <v>0</v>
      </c>
      <c r="H232" s="930">
        <f>F232+G232</f>
        <v>-518500</v>
      </c>
    </row>
    <row r="233" spans="1:8" x14ac:dyDescent="0.25">
      <c r="A233" s="945" t="s">
        <v>2016</v>
      </c>
      <c r="C233" s="944" t="s">
        <v>2015</v>
      </c>
      <c r="D233" s="930">
        <f>SUBTOTAL(9,D232:D232)</f>
        <v>-1043000</v>
      </c>
      <c r="E233" s="930">
        <f>SUBTOTAL(9,E232:E232)</f>
        <v>-521292</v>
      </c>
      <c r="F233" s="930">
        <f>SUBTOTAL(9,F232:F232)</f>
        <v>-518500</v>
      </c>
      <c r="G233" s="930">
        <f>SUBTOTAL(9,G232:G232)</f>
        <v>0</v>
      </c>
      <c r="H233" s="930">
        <f>SUBTOTAL(9,H232:H232)</f>
        <v>-518500</v>
      </c>
    </row>
    <row r="234" spans="1:8" x14ac:dyDescent="0.25">
      <c r="A234">
        <v>12</v>
      </c>
      <c r="B234" s="942">
        <v>1513100900</v>
      </c>
      <c r="C234" t="s">
        <v>1320</v>
      </c>
      <c r="D234" s="930">
        <v>-12000</v>
      </c>
      <c r="E234" s="930">
        <v>-6000</v>
      </c>
      <c r="F234" s="930">
        <v>0</v>
      </c>
      <c r="G234" s="930">
        <v>0</v>
      </c>
      <c r="H234" s="930">
        <f>F234+G234</f>
        <v>0</v>
      </c>
    </row>
    <row r="235" spans="1:8" x14ac:dyDescent="0.25">
      <c r="A235" s="945" t="s">
        <v>2017</v>
      </c>
      <c r="C235" s="944" t="s">
        <v>1320</v>
      </c>
      <c r="D235" s="930">
        <f>SUBTOTAL(9,D234:D234)</f>
        <v>-12000</v>
      </c>
      <c r="E235" s="930">
        <f>SUBTOTAL(9,E234:E234)</f>
        <v>-6000</v>
      </c>
      <c r="F235" s="930">
        <f>SUBTOTAL(9,F234:F234)</f>
        <v>0</v>
      </c>
      <c r="G235" s="930">
        <f>SUBTOTAL(9,G234:G234)</f>
        <v>0</v>
      </c>
      <c r="H235" s="930">
        <f>SUBTOTAL(9,H234:H234)</f>
        <v>0</v>
      </c>
    </row>
    <row r="236" spans="1:8" x14ac:dyDescent="0.25">
      <c r="A236">
        <v>13</v>
      </c>
      <c r="B236" s="942">
        <v>1590000899</v>
      </c>
      <c r="C236" t="s">
        <v>2018</v>
      </c>
      <c r="D236" s="930">
        <v>0</v>
      </c>
      <c r="E236" s="930">
        <v>0</v>
      </c>
      <c r="F236" s="930">
        <v>-289230</v>
      </c>
      <c r="G236" s="930">
        <v>0</v>
      </c>
      <c r="H236" s="930">
        <f>F236+G236</f>
        <v>-289230</v>
      </c>
    </row>
    <row r="237" spans="1:8" x14ac:dyDescent="0.25">
      <c r="A237" s="945" t="s">
        <v>2019</v>
      </c>
      <c r="C237" s="944" t="s">
        <v>2018</v>
      </c>
      <c r="D237" s="930">
        <f>SUBTOTAL(9,D236:D236)</f>
        <v>0</v>
      </c>
      <c r="E237" s="930">
        <f>SUBTOTAL(9,E236:E236)</f>
        <v>0</v>
      </c>
      <c r="F237" s="930">
        <f>SUBTOTAL(9,F236:F236)</f>
        <v>-289230</v>
      </c>
      <c r="G237" s="930">
        <f>SUBTOTAL(9,G236:G236)</f>
        <v>0</v>
      </c>
      <c r="H237" s="930">
        <f>SUBTOTAL(9,H236:H236)</f>
        <v>-289230</v>
      </c>
    </row>
    <row r="238" spans="1:8" x14ac:dyDescent="0.25">
      <c r="A238">
        <v>14</v>
      </c>
      <c r="B238" s="942">
        <v>1599300900</v>
      </c>
      <c r="C238" t="s">
        <v>1322</v>
      </c>
      <c r="D238" s="930">
        <v>0</v>
      </c>
      <c r="E238" s="930">
        <v>0</v>
      </c>
      <c r="F238" s="930">
        <v>0</v>
      </c>
      <c r="G238" s="930">
        <v>0</v>
      </c>
      <c r="H238" s="930">
        <f>F238+G238</f>
        <v>0</v>
      </c>
    </row>
    <row r="239" spans="1:8" x14ac:dyDescent="0.25">
      <c r="A239" s="945" t="s">
        <v>2020</v>
      </c>
      <c r="C239" s="944" t="s">
        <v>1322</v>
      </c>
      <c r="D239" s="930">
        <f>SUBTOTAL(9,D238:D238)</f>
        <v>0</v>
      </c>
      <c r="E239" s="930">
        <f>SUBTOTAL(9,E238:E238)</f>
        <v>0</v>
      </c>
      <c r="F239" s="930">
        <f>SUBTOTAL(9,F238:F238)</f>
        <v>0</v>
      </c>
      <c r="G239" s="930">
        <f>SUBTOTAL(9,G238:G238)</f>
        <v>0</v>
      </c>
      <c r="H239" s="930">
        <f>SUBTOTAL(9,H238:H238)</f>
        <v>0</v>
      </c>
    </row>
    <row r="240" spans="1:8" x14ac:dyDescent="0.25">
      <c r="A240">
        <v>15</v>
      </c>
      <c r="B240" s="942">
        <v>1591000910</v>
      </c>
      <c r="C240" t="s">
        <v>1321</v>
      </c>
      <c r="D240" s="930">
        <v>0</v>
      </c>
      <c r="E240" s="930">
        <v>0</v>
      </c>
      <c r="F240" s="930">
        <v>0</v>
      </c>
      <c r="G240" s="930">
        <v>0</v>
      </c>
      <c r="H240" s="930">
        <f>F240+G240</f>
        <v>0</v>
      </c>
    </row>
    <row r="241" spans="1:12" outlineLevel="1" x14ac:dyDescent="0.25">
      <c r="A241" s="945" t="s">
        <v>2021</v>
      </c>
      <c r="C241" s="944" t="s">
        <v>1321</v>
      </c>
      <c r="D241" s="930">
        <f>SUBTOTAL(9,D240:D240)</f>
        <v>0</v>
      </c>
      <c r="E241" s="930">
        <f>SUBTOTAL(9,E240:E240)</f>
        <v>0</v>
      </c>
      <c r="F241" s="930">
        <f>SUBTOTAL(9,F240:F240)</f>
        <v>0</v>
      </c>
      <c r="G241" s="930">
        <f>SUBTOTAL(9,G240:G240)</f>
        <v>0</v>
      </c>
      <c r="H241" s="930">
        <f>SUBTOTAL(9,H240:H240)</f>
        <v>0</v>
      </c>
      <c r="L241">
        <f>3072-3066</f>
        <v>6</v>
      </c>
    </row>
    <row r="242" spans="1:12" outlineLevel="2" x14ac:dyDescent="0.25">
      <c r="A242">
        <v>16</v>
      </c>
      <c r="B242" s="942">
        <v>1513000690</v>
      </c>
      <c r="C242" t="s">
        <v>2022</v>
      </c>
      <c r="D242" s="930">
        <v>-300000</v>
      </c>
      <c r="E242" s="930">
        <v>-149940</v>
      </c>
      <c r="F242" s="930">
        <v>0</v>
      </c>
      <c r="G242" s="930">
        <v>0</v>
      </c>
      <c r="H242" s="930">
        <f>F242+G242</f>
        <v>0</v>
      </c>
    </row>
    <row r="243" spans="1:12" outlineLevel="1" x14ac:dyDescent="0.25">
      <c r="A243" s="945" t="s">
        <v>2023</v>
      </c>
      <c r="C243" s="944" t="s">
        <v>2022</v>
      </c>
      <c r="D243" s="930">
        <f>SUBTOTAL(9,D242:D242)</f>
        <v>-300000</v>
      </c>
      <c r="E243" s="930">
        <f>SUBTOTAL(9,E242:E242)</f>
        <v>-149940</v>
      </c>
      <c r="F243" s="930">
        <f>SUBTOTAL(9,F242:F242)</f>
        <v>0</v>
      </c>
      <c r="G243" s="930">
        <f>SUBTOTAL(9,G242:G242)</f>
        <v>0</v>
      </c>
      <c r="H243" s="930">
        <f>SUBTOTAL(9,H242:H242)</f>
        <v>0</v>
      </c>
    </row>
    <row r="244" spans="1:12" outlineLevel="2" x14ac:dyDescent="0.25">
      <c r="A244">
        <v>17</v>
      </c>
      <c r="B244" s="942">
        <v>1115000100</v>
      </c>
      <c r="C244" t="s">
        <v>1153</v>
      </c>
      <c r="D244" s="930">
        <v>-4270000</v>
      </c>
      <c r="E244" s="930">
        <v>-2134146</v>
      </c>
      <c r="F244" s="930">
        <v>-1790769</v>
      </c>
      <c r="G244" s="930">
        <f>-2798298-273336-F244+6000</f>
        <v>-1274865</v>
      </c>
      <c r="H244" s="930">
        <f>F244+G244</f>
        <v>-3065634</v>
      </c>
    </row>
    <row r="245" spans="1:12" outlineLevel="1" x14ac:dyDescent="0.25">
      <c r="A245" s="945" t="s">
        <v>2024</v>
      </c>
      <c r="C245" s="944" t="s">
        <v>1153</v>
      </c>
      <c r="D245" s="930">
        <f>SUBTOTAL(9,D244:D244)</f>
        <v>-4270000</v>
      </c>
      <c r="E245" s="930">
        <f>SUBTOTAL(9,E244:E244)</f>
        <v>-2134146</v>
      </c>
      <c r="F245" s="930">
        <f>SUBTOTAL(9,F244:F244)</f>
        <v>-1790769</v>
      </c>
      <c r="G245" s="930">
        <f>SUBTOTAL(9,G244:G244)</f>
        <v>-1274865</v>
      </c>
      <c r="H245" s="930">
        <f>SUBTOTAL(9,H244:H244)</f>
        <v>-3065634</v>
      </c>
    </row>
    <row r="246" spans="1:12" outlineLevel="1" x14ac:dyDescent="0.25"/>
    <row r="247" spans="1:12" outlineLevel="1" x14ac:dyDescent="0.25"/>
    <row r="248" spans="1:12" outlineLevel="1" x14ac:dyDescent="0.25"/>
    <row r="249" spans="1:12" outlineLevel="1" x14ac:dyDescent="0.25"/>
    <row r="250" spans="1:12" outlineLevel="1" x14ac:dyDescent="0.25">
      <c r="A250" s="945" t="s">
        <v>2025</v>
      </c>
      <c r="C250" s="944" t="s">
        <v>2026</v>
      </c>
      <c r="D250" s="930">
        <f>SUBTOTAL(9,D2:D249)</f>
        <v>-61152728</v>
      </c>
      <c r="E250" s="930">
        <f>SUBTOTAL(9,E2:E249)</f>
        <v>-30564204</v>
      </c>
      <c r="F250" s="930">
        <f>SUBTOTAL(9,F2:F249)</f>
        <v>-28666990.259999998</v>
      </c>
      <c r="G250" s="930">
        <f>SUBTOTAL(9,G2:G249)</f>
        <v>-2436340</v>
      </c>
      <c r="H250" s="930">
        <f>SUBTOTAL(9,H2:H249)</f>
        <v>-31103330.259999998</v>
      </c>
    </row>
    <row r="252" spans="1:12" x14ac:dyDescent="0.25">
      <c r="C252" s="944" t="s">
        <v>2027</v>
      </c>
      <c r="D252" s="930">
        <f>D250+[3]הוצאות!D438</f>
        <v>9487636</v>
      </c>
      <c r="E252" s="930">
        <f>E250+[3]הוצאות!E438</f>
        <v>4755978</v>
      </c>
      <c r="F252" s="946">
        <f>F250+[3]הוצאות!F438</f>
        <v>4957782.43</v>
      </c>
      <c r="G252" s="930">
        <f>G250+[3]הוצאות!G438</f>
        <v>1457910.9844999998</v>
      </c>
      <c r="H252" s="946">
        <f>H250+[3]הוצאות!H438</f>
        <v>6415693.4144999981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3"/>
  <sheetViews>
    <sheetView rightToLeft="1" workbookViewId="0">
      <selection activeCell="AE11" sqref="AE11"/>
    </sheetView>
  </sheetViews>
  <sheetFormatPr defaultRowHeight="12.75" outlineLevelRow="2" x14ac:dyDescent="0.2"/>
  <cols>
    <col min="2" max="2" width="10" bestFit="1" customWidth="1"/>
    <col min="3" max="3" width="16.5703125" bestFit="1" customWidth="1"/>
    <col min="7" max="12" width="0" hidden="1" customWidth="1"/>
    <col min="14" max="14" width="17.5703125" bestFit="1" customWidth="1"/>
    <col min="15" max="15" width="0" hidden="1" customWidth="1"/>
    <col min="16" max="16" width="20.5703125" hidden="1" customWidth="1"/>
    <col min="17" max="17" width="18" hidden="1" customWidth="1"/>
    <col min="20" max="29" width="0" hidden="1" customWidth="1"/>
    <col min="32" max="32" width="10" bestFit="1" customWidth="1"/>
    <col min="263" max="268" width="0" hidden="1" customWidth="1"/>
    <col min="271" max="273" width="0" hidden="1" customWidth="1"/>
    <col min="276" max="285" width="0" hidden="1" customWidth="1"/>
    <col min="519" max="524" width="0" hidden="1" customWidth="1"/>
    <col min="527" max="529" width="0" hidden="1" customWidth="1"/>
    <col min="532" max="541" width="0" hidden="1" customWidth="1"/>
    <col min="775" max="780" width="0" hidden="1" customWidth="1"/>
    <col min="783" max="785" width="0" hidden="1" customWidth="1"/>
    <col min="788" max="797" width="0" hidden="1" customWidth="1"/>
    <col min="1031" max="1036" width="0" hidden="1" customWidth="1"/>
    <col min="1039" max="1041" width="0" hidden="1" customWidth="1"/>
    <col min="1044" max="1053" width="0" hidden="1" customWidth="1"/>
    <col min="1287" max="1292" width="0" hidden="1" customWidth="1"/>
    <col min="1295" max="1297" width="0" hidden="1" customWidth="1"/>
    <col min="1300" max="1309" width="0" hidden="1" customWidth="1"/>
    <col min="1543" max="1548" width="0" hidden="1" customWidth="1"/>
    <col min="1551" max="1553" width="0" hidden="1" customWidth="1"/>
    <col min="1556" max="1565" width="0" hidden="1" customWidth="1"/>
    <col min="1799" max="1804" width="0" hidden="1" customWidth="1"/>
    <col min="1807" max="1809" width="0" hidden="1" customWidth="1"/>
    <col min="1812" max="1821" width="0" hidden="1" customWidth="1"/>
    <col min="2055" max="2060" width="0" hidden="1" customWidth="1"/>
    <col min="2063" max="2065" width="0" hidden="1" customWidth="1"/>
    <col min="2068" max="2077" width="0" hidden="1" customWidth="1"/>
    <col min="2311" max="2316" width="0" hidden="1" customWidth="1"/>
    <col min="2319" max="2321" width="0" hidden="1" customWidth="1"/>
    <col min="2324" max="2333" width="0" hidden="1" customWidth="1"/>
    <col min="2567" max="2572" width="0" hidden="1" customWidth="1"/>
    <col min="2575" max="2577" width="0" hidden="1" customWidth="1"/>
    <col min="2580" max="2589" width="0" hidden="1" customWidth="1"/>
    <col min="2823" max="2828" width="0" hidden="1" customWidth="1"/>
    <col min="2831" max="2833" width="0" hidden="1" customWidth="1"/>
    <col min="2836" max="2845" width="0" hidden="1" customWidth="1"/>
    <col min="3079" max="3084" width="0" hidden="1" customWidth="1"/>
    <col min="3087" max="3089" width="0" hidden="1" customWidth="1"/>
    <col min="3092" max="3101" width="0" hidden="1" customWidth="1"/>
    <col min="3335" max="3340" width="0" hidden="1" customWidth="1"/>
    <col min="3343" max="3345" width="0" hidden="1" customWidth="1"/>
    <col min="3348" max="3357" width="0" hidden="1" customWidth="1"/>
    <col min="3591" max="3596" width="0" hidden="1" customWidth="1"/>
    <col min="3599" max="3601" width="0" hidden="1" customWidth="1"/>
    <col min="3604" max="3613" width="0" hidden="1" customWidth="1"/>
    <col min="3847" max="3852" width="0" hidden="1" customWidth="1"/>
    <col min="3855" max="3857" width="0" hidden="1" customWidth="1"/>
    <col min="3860" max="3869" width="0" hidden="1" customWidth="1"/>
    <col min="4103" max="4108" width="0" hidden="1" customWidth="1"/>
    <col min="4111" max="4113" width="0" hidden="1" customWidth="1"/>
    <col min="4116" max="4125" width="0" hidden="1" customWidth="1"/>
    <col min="4359" max="4364" width="0" hidden="1" customWidth="1"/>
    <col min="4367" max="4369" width="0" hidden="1" customWidth="1"/>
    <col min="4372" max="4381" width="0" hidden="1" customWidth="1"/>
    <col min="4615" max="4620" width="0" hidden="1" customWidth="1"/>
    <col min="4623" max="4625" width="0" hidden="1" customWidth="1"/>
    <col min="4628" max="4637" width="0" hidden="1" customWidth="1"/>
    <col min="4871" max="4876" width="0" hidden="1" customWidth="1"/>
    <col min="4879" max="4881" width="0" hidden="1" customWidth="1"/>
    <col min="4884" max="4893" width="0" hidden="1" customWidth="1"/>
    <col min="5127" max="5132" width="0" hidden="1" customWidth="1"/>
    <col min="5135" max="5137" width="0" hidden="1" customWidth="1"/>
    <col min="5140" max="5149" width="0" hidden="1" customWidth="1"/>
    <col min="5383" max="5388" width="0" hidden="1" customWidth="1"/>
    <col min="5391" max="5393" width="0" hidden="1" customWidth="1"/>
    <col min="5396" max="5405" width="0" hidden="1" customWidth="1"/>
    <col min="5639" max="5644" width="0" hidden="1" customWidth="1"/>
    <col min="5647" max="5649" width="0" hidden="1" customWidth="1"/>
    <col min="5652" max="5661" width="0" hidden="1" customWidth="1"/>
    <col min="5895" max="5900" width="0" hidden="1" customWidth="1"/>
    <col min="5903" max="5905" width="0" hidden="1" customWidth="1"/>
    <col min="5908" max="5917" width="0" hidden="1" customWidth="1"/>
    <col min="6151" max="6156" width="0" hidden="1" customWidth="1"/>
    <col min="6159" max="6161" width="0" hidden="1" customWidth="1"/>
    <col min="6164" max="6173" width="0" hidden="1" customWidth="1"/>
    <col min="6407" max="6412" width="0" hidden="1" customWidth="1"/>
    <col min="6415" max="6417" width="0" hidden="1" customWidth="1"/>
    <col min="6420" max="6429" width="0" hidden="1" customWidth="1"/>
    <col min="6663" max="6668" width="0" hidden="1" customWidth="1"/>
    <col min="6671" max="6673" width="0" hidden="1" customWidth="1"/>
    <col min="6676" max="6685" width="0" hidden="1" customWidth="1"/>
    <col min="6919" max="6924" width="0" hidden="1" customWidth="1"/>
    <col min="6927" max="6929" width="0" hidden="1" customWidth="1"/>
    <col min="6932" max="6941" width="0" hidden="1" customWidth="1"/>
    <col min="7175" max="7180" width="0" hidden="1" customWidth="1"/>
    <col min="7183" max="7185" width="0" hidden="1" customWidth="1"/>
    <col min="7188" max="7197" width="0" hidden="1" customWidth="1"/>
    <col min="7431" max="7436" width="0" hidden="1" customWidth="1"/>
    <col min="7439" max="7441" width="0" hidden="1" customWidth="1"/>
    <col min="7444" max="7453" width="0" hidden="1" customWidth="1"/>
    <col min="7687" max="7692" width="0" hidden="1" customWidth="1"/>
    <col min="7695" max="7697" width="0" hidden="1" customWidth="1"/>
    <col min="7700" max="7709" width="0" hidden="1" customWidth="1"/>
    <col min="7943" max="7948" width="0" hidden="1" customWidth="1"/>
    <col min="7951" max="7953" width="0" hidden="1" customWidth="1"/>
    <col min="7956" max="7965" width="0" hidden="1" customWidth="1"/>
    <col min="8199" max="8204" width="0" hidden="1" customWidth="1"/>
    <col min="8207" max="8209" width="0" hidden="1" customWidth="1"/>
    <col min="8212" max="8221" width="0" hidden="1" customWidth="1"/>
    <col min="8455" max="8460" width="0" hidden="1" customWidth="1"/>
    <col min="8463" max="8465" width="0" hidden="1" customWidth="1"/>
    <col min="8468" max="8477" width="0" hidden="1" customWidth="1"/>
    <col min="8711" max="8716" width="0" hidden="1" customWidth="1"/>
    <col min="8719" max="8721" width="0" hidden="1" customWidth="1"/>
    <col min="8724" max="8733" width="0" hidden="1" customWidth="1"/>
    <col min="8967" max="8972" width="0" hidden="1" customWidth="1"/>
    <col min="8975" max="8977" width="0" hidden="1" customWidth="1"/>
    <col min="8980" max="8989" width="0" hidden="1" customWidth="1"/>
    <col min="9223" max="9228" width="0" hidden="1" customWidth="1"/>
    <col min="9231" max="9233" width="0" hidden="1" customWidth="1"/>
    <col min="9236" max="9245" width="0" hidden="1" customWidth="1"/>
    <col min="9479" max="9484" width="0" hidden="1" customWidth="1"/>
    <col min="9487" max="9489" width="0" hidden="1" customWidth="1"/>
    <col min="9492" max="9501" width="0" hidden="1" customWidth="1"/>
    <col min="9735" max="9740" width="0" hidden="1" customWidth="1"/>
    <col min="9743" max="9745" width="0" hidden="1" customWidth="1"/>
    <col min="9748" max="9757" width="0" hidden="1" customWidth="1"/>
    <col min="9991" max="9996" width="0" hidden="1" customWidth="1"/>
    <col min="9999" max="10001" width="0" hidden="1" customWidth="1"/>
    <col min="10004" max="10013" width="0" hidden="1" customWidth="1"/>
    <col min="10247" max="10252" width="0" hidden="1" customWidth="1"/>
    <col min="10255" max="10257" width="0" hidden="1" customWidth="1"/>
    <col min="10260" max="10269" width="0" hidden="1" customWidth="1"/>
    <col min="10503" max="10508" width="0" hidden="1" customWidth="1"/>
    <col min="10511" max="10513" width="0" hidden="1" customWidth="1"/>
    <col min="10516" max="10525" width="0" hidden="1" customWidth="1"/>
    <col min="10759" max="10764" width="0" hidden="1" customWidth="1"/>
    <col min="10767" max="10769" width="0" hidden="1" customWidth="1"/>
    <col min="10772" max="10781" width="0" hidden="1" customWidth="1"/>
    <col min="11015" max="11020" width="0" hidden="1" customWidth="1"/>
    <col min="11023" max="11025" width="0" hidden="1" customWidth="1"/>
    <col min="11028" max="11037" width="0" hidden="1" customWidth="1"/>
    <col min="11271" max="11276" width="0" hidden="1" customWidth="1"/>
    <col min="11279" max="11281" width="0" hidden="1" customWidth="1"/>
    <col min="11284" max="11293" width="0" hidden="1" customWidth="1"/>
    <col min="11527" max="11532" width="0" hidden="1" customWidth="1"/>
    <col min="11535" max="11537" width="0" hidden="1" customWidth="1"/>
    <col min="11540" max="11549" width="0" hidden="1" customWidth="1"/>
    <col min="11783" max="11788" width="0" hidden="1" customWidth="1"/>
    <col min="11791" max="11793" width="0" hidden="1" customWidth="1"/>
    <col min="11796" max="11805" width="0" hidden="1" customWidth="1"/>
    <col min="12039" max="12044" width="0" hidden="1" customWidth="1"/>
    <col min="12047" max="12049" width="0" hidden="1" customWidth="1"/>
    <col min="12052" max="12061" width="0" hidden="1" customWidth="1"/>
    <col min="12295" max="12300" width="0" hidden="1" customWidth="1"/>
    <col min="12303" max="12305" width="0" hidden="1" customWidth="1"/>
    <col min="12308" max="12317" width="0" hidden="1" customWidth="1"/>
    <col min="12551" max="12556" width="0" hidden="1" customWidth="1"/>
    <col min="12559" max="12561" width="0" hidden="1" customWidth="1"/>
    <col min="12564" max="12573" width="0" hidden="1" customWidth="1"/>
    <col min="12807" max="12812" width="0" hidden="1" customWidth="1"/>
    <col min="12815" max="12817" width="0" hidden="1" customWidth="1"/>
    <col min="12820" max="12829" width="0" hidden="1" customWidth="1"/>
    <col min="13063" max="13068" width="0" hidden="1" customWidth="1"/>
    <col min="13071" max="13073" width="0" hidden="1" customWidth="1"/>
    <col min="13076" max="13085" width="0" hidden="1" customWidth="1"/>
    <col min="13319" max="13324" width="0" hidden="1" customWidth="1"/>
    <col min="13327" max="13329" width="0" hidden="1" customWidth="1"/>
    <col min="13332" max="13341" width="0" hidden="1" customWidth="1"/>
    <col min="13575" max="13580" width="0" hidden="1" customWidth="1"/>
    <col min="13583" max="13585" width="0" hidden="1" customWidth="1"/>
    <col min="13588" max="13597" width="0" hidden="1" customWidth="1"/>
    <col min="13831" max="13836" width="0" hidden="1" customWidth="1"/>
    <col min="13839" max="13841" width="0" hidden="1" customWidth="1"/>
    <col min="13844" max="13853" width="0" hidden="1" customWidth="1"/>
    <col min="14087" max="14092" width="0" hidden="1" customWidth="1"/>
    <col min="14095" max="14097" width="0" hidden="1" customWidth="1"/>
    <col min="14100" max="14109" width="0" hidden="1" customWidth="1"/>
    <col min="14343" max="14348" width="0" hidden="1" customWidth="1"/>
    <col min="14351" max="14353" width="0" hidden="1" customWidth="1"/>
    <col min="14356" max="14365" width="0" hidden="1" customWidth="1"/>
    <col min="14599" max="14604" width="0" hidden="1" customWidth="1"/>
    <col min="14607" max="14609" width="0" hidden="1" customWidth="1"/>
    <col min="14612" max="14621" width="0" hidden="1" customWidth="1"/>
    <col min="14855" max="14860" width="0" hidden="1" customWidth="1"/>
    <col min="14863" max="14865" width="0" hidden="1" customWidth="1"/>
    <col min="14868" max="14877" width="0" hidden="1" customWidth="1"/>
    <col min="15111" max="15116" width="0" hidden="1" customWidth="1"/>
    <col min="15119" max="15121" width="0" hidden="1" customWidth="1"/>
    <col min="15124" max="15133" width="0" hidden="1" customWidth="1"/>
    <col min="15367" max="15372" width="0" hidden="1" customWidth="1"/>
    <col min="15375" max="15377" width="0" hidden="1" customWidth="1"/>
    <col min="15380" max="15389" width="0" hidden="1" customWidth="1"/>
    <col min="15623" max="15628" width="0" hidden="1" customWidth="1"/>
    <col min="15631" max="15633" width="0" hidden="1" customWidth="1"/>
    <col min="15636" max="15645" width="0" hidden="1" customWidth="1"/>
    <col min="15879" max="15884" width="0" hidden="1" customWidth="1"/>
    <col min="15887" max="15889" width="0" hidden="1" customWidth="1"/>
    <col min="15892" max="15901" width="0" hidden="1" customWidth="1"/>
    <col min="16135" max="16140" width="0" hidden="1" customWidth="1"/>
    <col min="16143" max="16145" width="0" hidden="1" customWidth="1"/>
    <col min="16148" max="16157" width="0" hidden="1" customWidth="1"/>
  </cols>
  <sheetData>
    <row r="1" spans="1:29" x14ac:dyDescent="0.2">
      <c r="A1" t="s">
        <v>2079</v>
      </c>
      <c r="B1" t="s">
        <v>2080</v>
      </c>
      <c r="C1" t="s">
        <v>2081</v>
      </c>
      <c r="D1" t="s">
        <v>2082</v>
      </c>
      <c r="E1" t="s">
        <v>2083</v>
      </c>
      <c r="F1" t="s">
        <v>919</v>
      </c>
      <c r="G1" t="s">
        <v>2084</v>
      </c>
      <c r="H1" t="s">
        <v>2085</v>
      </c>
      <c r="I1" t="s">
        <v>2086</v>
      </c>
      <c r="J1" t="s">
        <v>2087</v>
      </c>
      <c r="K1" t="s">
        <v>2088</v>
      </c>
      <c r="L1" t="s">
        <v>2089</v>
      </c>
      <c r="M1" t="s">
        <v>2090</v>
      </c>
      <c r="N1" t="s">
        <v>2091</v>
      </c>
      <c r="O1" t="s">
        <v>2092</v>
      </c>
      <c r="P1" t="s">
        <v>2093</v>
      </c>
      <c r="Q1" t="s">
        <v>2094</v>
      </c>
      <c r="R1" t="s">
        <v>2095</v>
      </c>
      <c r="S1" t="s">
        <v>2096</v>
      </c>
      <c r="T1" t="s">
        <v>2097</v>
      </c>
      <c r="U1" t="s">
        <v>2098</v>
      </c>
      <c r="V1" t="s">
        <v>2099</v>
      </c>
      <c r="W1" t="s">
        <v>2100</v>
      </c>
      <c r="X1" t="s">
        <v>2101</v>
      </c>
      <c r="Y1" t="s">
        <v>2102</v>
      </c>
      <c r="Z1" t="s">
        <v>2103</v>
      </c>
      <c r="AA1" t="s">
        <v>2104</v>
      </c>
      <c r="AB1" t="s">
        <v>2105</v>
      </c>
    </row>
    <row r="2" spans="1:29" outlineLevel="2" x14ac:dyDescent="0.2">
      <c r="A2">
        <v>506</v>
      </c>
      <c r="B2">
        <v>1153750</v>
      </c>
      <c r="C2">
        <v>11537503</v>
      </c>
      <c r="D2" t="s">
        <v>2117</v>
      </c>
      <c r="E2" t="s">
        <v>2392</v>
      </c>
      <c r="F2">
        <v>812203</v>
      </c>
      <c r="G2" t="s">
        <v>2384</v>
      </c>
      <c r="H2">
        <v>90534</v>
      </c>
      <c r="I2">
        <v>1</v>
      </c>
      <c r="J2">
        <v>0</v>
      </c>
      <c r="K2">
        <v>0</v>
      </c>
      <c r="L2">
        <v>0</v>
      </c>
      <c r="M2">
        <v>0</v>
      </c>
      <c r="N2">
        <v>5994.88</v>
      </c>
      <c r="O2">
        <v>874.75</v>
      </c>
      <c r="P2">
        <v>159.22999999999999</v>
      </c>
      <c r="Q2">
        <v>4614.8</v>
      </c>
      <c r="R2">
        <v>0</v>
      </c>
      <c r="S2">
        <v>2928.5</v>
      </c>
      <c r="T2">
        <v>0</v>
      </c>
      <c r="U2">
        <v>0</v>
      </c>
      <c r="V2">
        <v>19.350000000000001</v>
      </c>
      <c r="W2">
        <v>0</v>
      </c>
      <c r="X2">
        <v>1666.95</v>
      </c>
      <c r="Y2">
        <v>346.1</v>
      </c>
      <c r="Z2">
        <v>0</v>
      </c>
      <c r="AA2">
        <v>0</v>
      </c>
      <c r="AB2">
        <v>1812203</v>
      </c>
      <c r="AC2" t="s">
        <v>251</v>
      </c>
    </row>
    <row r="3" spans="1:29" outlineLevel="1" x14ac:dyDescent="0.2">
      <c r="B3" s="386" t="s">
        <v>2767</v>
      </c>
      <c r="N3">
        <f>SUBTOTAL(9,N2:N2)</f>
        <v>5994.88</v>
      </c>
    </row>
    <row r="4" spans="1:29" outlineLevel="2" x14ac:dyDescent="0.2">
      <c r="A4">
        <v>506</v>
      </c>
      <c r="B4">
        <v>2012818</v>
      </c>
      <c r="C4">
        <v>20128187</v>
      </c>
      <c r="D4" t="s">
        <v>2208</v>
      </c>
      <c r="E4" t="s">
        <v>1124</v>
      </c>
      <c r="F4">
        <v>996000</v>
      </c>
      <c r="G4" t="s">
        <v>2384</v>
      </c>
      <c r="H4">
        <v>90534</v>
      </c>
      <c r="I4">
        <v>3</v>
      </c>
      <c r="J4">
        <v>5</v>
      </c>
      <c r="K4">
        <v>6</v>
      </c>
      <c r="L4">
        <v>0</v>
      </c>
      <c r="M4">
        <v>324</v>
      </c>
      <c r="N4">
        <v>23646.75</v>
      </c>
      <c r="O4">
        <v>0</v>
      </c>
      <c r="P4">
        <v>0</v>
      </c>
      <c r="Q4">
        <v>21997.1</v>
      </c>
      <c r="R4">
        <v>0</v>
      </c>
      <c r="S4">
        <v>547.54999999999995</v>
      </c>
      <c r="T4">
        <v>21449.55</v>
      </c>
      <c r="U4">
        <v>0</v>
      </c>
      <c r="V4">
        <v>0</v>
      </c>
      <c r="W4">
        <v>0</v>
      </c>
      <c r="X4">
        <v>0</v>
      </c>
      <c r="Y4">
        <v>1649.65</v>
      </c>
      <c r="Z4">
        <v>0</v>
      </c>
      <c r="AA4">
        <v>0</v>
      </c>
      <c r="AB4">
        <v>1996000</v>
      </c>
      <c r="AC4" t="s">
        <v>251</v>
      </c>
    </row>
    <row r="5" spans="1:29" outlineLevel="1" x14ac:dyDescent="0.2">
      <c r="B5" s="386" t="s">
        <v>2766</v>
      </c>
      <c r="N5">
        <f>SUBTOTAL(9,N4:N4)</f>
        <v>23646.75</v>
      </c>
    </row>
    <row r="6" spans="1:29" outlineLevel="2" x14ac:dyDescent="0.2">
      <c r="A6">
        <v>506</v>
      </c>
      <c r="B6">
        <v>2013203</v>
      </c>
      <c r="C6">
        <v>20132031</v>
      </c>
      <c r="D6" t="s">
        <v>1329</v>
      </c>
      <c r="E6" t="s">
        <v>2326</v>
      </c>
      <c r="F6">
        <v>996000</v>
      </c>
      <c r="G6" t="s">
        <v>2384</v>
      </c>
      <c r="H6">
        <v>90534</v>
      </c>
      <c r="I6">
        <v>3</v>
      </c>
      <c r="J6">
        <v>5</v>
      </c>
      <c r="K6">
        <v>8</v>
      </c>
      <c r="L6">
        <v>0</v>
      </c>
      <c r="M6">
        <v>380.7</v>
      </c>
      <c r="N6">
        <v>28679.25</v>
      </c>
      <c r="O6">
        <v>0</v>
      </c>
      <c r="P6">
        <v>0</v>
      </c>
      <c r="Q6">
        <v>26678.400000000001</v>
      </c>
      <c r="R6">
        <v>0</v>
      </c>
      <c r="S6">
        <v>896.75</v>
      </c>
      <c r="T6">
        <v>25781.65</v>
      </c>
      <c r="U6">
        <v>0</v>
      </c>
      <c r="V6">
        <v>0</v>
      </c>
      <c r="W6">
        <v>0</v>
      </c>
      <c r="X6">
        <v>0</v>
      </c>
      <c r="Y6">
        <v>2000.85</v>
      </c>
      <c r="Z6">
        <v>0</v>
      </c>
      <c r="AA6">
        <v>0</v>
      </c>
      <c r="AB6">
        <v>1996000</v>
      </c>
      <c r="AC6" t="s">
        <v>251</v>
      </c>
    </row>
    <row r="7" spans="1:29" outlineLevel="1" x14ac:dyDescent="0.2">
      <c r="B7" s="386" t="s">
        <v>2765</v>
      </c>
      <c r="N7">
        <f>SUBTOTAL(9,N6:N6)</f>
        <v>28679.25</v>
      </c>
    </row>
    <row r="8" spans="1:29" outlineLevel="2" x14ac:dyDescent="0.2">
      <c r="A8">
        <v>506</v>
      </c>
      <c r="B8">
        <v>2013214</v>
      </c>
      <c r="C8">
        <v>20132148</v>
      </c>
      <c r="D8" t="s">
        <v>1390</v>
      </c>
      <c r="E8" t="s">
        <v>2327</v>
      </c>
      <c r="F8">
        <v>996000</v>
      </c>
      <c r="G8" t="s">
        <v>2384</v>
      </c>
      <c r="H8">
        <v>90534</v>
      </c>
      <c r="I8">
        <v>3</v>
      </c>
      <c r="J8">
        <v>5</v>
      </c>
      <c r="K8">
        <v>8</v>
      </c>
      <c r="L8">
        <v>0</v>
      </c>
      <c r="M8">
        <v>167.4</v>
      </c>
      <c r="N8">
        <v>11288.7</v>
      </c>
      <c r="O8">
        <v>0</v>
      </c>
      <c r="P8">
        <v>0</v>
      </c>
      <c r="Q8">
        <v>10501</v>
      </c>
      <c r="R8">
        <v>0</v>
      </c>
      <c r="S8">
        <v>394.3</v>
      </c>
      <c r="T8">
        <v>10106.700000000001</v>
      </c>
      <c r="U8">
        <v>0</v>
      </c>
      <c r="V8">
        <v>0</v>
      </c>
      <c r="W8">
        <v>0</v>
      </c>
      <c r="X8">
        <v>0</v>
      </c>
      <c r="Y8">
        <v>787.7</v>
      </c>
      <c r="Z8">
        <v>0</v>
      </c>
      <c r="AA8">
        <v>0</v>
      </c>
      <c r="AB8">
        <v>1996000</v>
      </c>
      <c r="AC8" t="s">
        <v>251</v>
      </c>
    </row>
    <row r="9" spans="1:29" outlineLevel="1" x14ac:dyDescent="0.2">
      <c r="B9" s="386" t="s">
        <v>2764</v>
      </c>
      <c r="N9">
        <f>SUBTOTAL(9,N8:N8)</f>
        <v>11288.7</v>
      </c>
    </row>
    <row r="10" spans="1:29" outlineLevel="2" x14ac:dyDescent="0.2">
      <c r="A10">
        <v>506</v>
      </c>
      <c r="B10">
        <v>2016633</v>
      </c>
      <c r="C10">
        <v>20166336</v>
      </c>
      <c r="D10" t="s">
        <v>2328</v>
      </c>
      <c r="E10" t="s">
        <v>2329</v>
      </c>
      <c r="F10">
        <v>996000</v>
      </c>
      <c r="G10" t="s">
        <v>2384</v>
      </c>
      <c r="H10">
        <v>90534</v>
      </c>
      <c r="I10">
        <v>3</v>
      </c>
      <c r="J10">
        <v>5</v>
      </c>
      <c r="K10">
        <v>8</v>
      </c>
      <c r="L10">
        <v>0</v>
      </c>
      <c r="M10">
        <v>201.6</v>
      </c>
      <c r="N10">
        <v>12717.25</v>
      </c>
      <c r="O10">
        <v>0</v>
      </c>
      <c r="P10">
        <v>0</v>
      </c>
      <c r="Q10">
        <v>11829.95</v>
      </c>
      <c r="R10">
        <v>0</v>
      </c>
      <c r="S10">
        <v>474.9</v>
      </c>
      <c r="T10">
        <v>11355.05</v>
      </c>
      <c r="U10">
        <v>0</v>
      </c>
      <c r="V10">
        <v>0</v>
      </c>
      <c r="W10">
        <v>0</v>
      </c>
      <c r="X10">
        <v>0</v>
      </c>
      <c r="Y10">
        <v>887.3</v>
      </c>
      <c r="Z10">
        <v>0</v>
      </c>
      <c r="AA10">
        <v>0</v>
      </c>
      <c r="AB10">
        <v>1996000</v>
      </c>
      <c r="AC10" t="s">
        <v>251</v>
      </c>
    </row>
    <row r="11" spans="1:29" outlineLevel="1" x14ac:dyDescent="0.2">
      <c r="B11" s="386" t="s">
        <v>2763</v>
      </c>
      <c r="N11">
        <f>SUBTOTAL(9,N10:N10)</f>
        <v>12717.25</v>
      </c>
    </row>
    <row r="12" spans="1:29" outlineLevel="2" x14ac:dyDescent="0.2">
      <c r="A12">
        <v>506</v>
      </c>
      <c r="B12">
        <v>2016799</v>
      </c>
      <c r="C12">
        <v>20167995</v>
      </c>
      <c r="D12" t="s">
        <v>2155</v>
      </c>
      <c r="E12" t="s">
        <v>2330</v>
      </c>
      <c r="F12">
        <v>996000</v>
      </c>
      <c r="G12" t="s">
        <v>2384</v>
      </c>
      <c r="H12">
        <v>90534</v>
      </c>
      <c r="I12">
        <v>3</v>
      </c>
      <c r="J12">
        <v>5</v>
      </c>
      <c r="K12">
        <v>41</v>
      </c>
      <c r="L12">
        <v>0</v>
      </c>
      <c r="M12">
        <v>396</v>
      </c>
      <c r="N12">
        <v>36985.9</v>
      </c>
      <c r="O12">
        <v>0</v>
      </c>
      <c r="P12">
        <v>0</v>
      </c>
      <c r="Q12">
        <v>34405.35</v>
      </c>
      <c r="R12">
        <v>0</v>
      </c>
      <c r="S12">
        <v>932.8</v>
      </c>
      <c r="T12">
        <v>33472.550000000003</v>
      </c>
      <c r="U12">
        <v>0</v>
      </c>
      <c r="V12">
        <v>0</v>
      </c>
      <c r="W12">
        <v>0</v>
      </c>
      <c r="X12">
        <v>0</v>
      </c>
      <c r="Y12">
        <v>2580.5500000000002</v>
      </c>
      <c r="Z12">
        <v>0</v>
      </c>
      <c r="AA12">
        <v>0</v>
      </c>
      <c r="AB12">
        <v>1996000</v>
      </c>
      <c r="AC12" t="s">
        <v>251</v>
      </c>
    </row>
    <row r="13" spans="1:29" outlineLevel="1" x14ac:dyDescent="0.2">
      <c r="B13" s="386" t="s">
        <v>2762</v>
      </c>
      <c r="N13">
        <f>SUBTOTAL(9,N12:N12)</f>
        <v>36985.9</v>
      </c>
    </row>
    <row r="14" spans="1:29" outlineLevel="2" x14ac:dyDescent="0.2">
      <c r="A14">
        <v>506</v>
      </c>
      <c r="B14">
        <v>2016851</v>
      </c>
      <c r="C14">
        <v>20168514</v>
      </c>
      <c r="D14" t="s">
        <v>2216</v>
      </c>
      <c r="E14" t="s">
        <v>2331</v>
      </c>
      <c r="F14">
        <v>996000</v>
      </c>
      <c r="G14" t="s">
        <v>2384</v>
      </c>
      <c r="H14">
        <v>90534</v>
      </c>
      <c r="I14">
        <v>3</v>
      </c>
      <c r="J14">
        <v>3</v>
      </c>
      <c r="K14">
        <v>2</v>
      </c>
      <c r="L14">
        <v>0</v>
      </c>
      <c r="M14">
        <v>362.7</v>
      </c>
      <c r="N14">
        <v>37672.949999999997</v>
      </c>
      <c r="O14">
        <v>0</v>
      </c>
      <c r="P14">
        <v>0</v>
      </c>
      <c r="Q14">
        <v>35044.5</v>
      </c>
      <c r="R14">
        <v>0</v>
      </c>
      <c r="S14">
        <v>612.95000000000005</v>
      </c>
      <c r="T14">
        <v>34431.550000000003</v>
      </c>
      <c r="U14">
        <v>0</v>
      </c>
      <c r="V14">
        <v>0</v>
      </c>
      <c r="W14">
        <v>0</v>
      </c>
      <c r="X14">
        <v>0</v>
      </c>
      <c r="Y14">
        <v>2628.45</v>
      </c>
      <c r="Z14">
        <v>0</v>
      </c>
      <c r="AA14">
        <v>0</v>
      </c>
      <c r="AB14">
        <v>1996000</v>
      </c>
      <c r="AC14" t="s">
        <v>251</v>
      </c>
    </row>
    <row r="15" spans="1:29" outlineLevel="1" x14ac:dyDescent="0.2">
      <c r="B15" s="386" t="s">
        <v>2761</v>
      </c>
      <c r="N15">
        <f>SUBTOTAL(9,N14:N14)</f>
        <v>37672.949999999997</v>
      </c>
    </row>
    <row r="16" spans="1:29" outlineLevel="2" x14ac:dyDescent="0.2">
      <c r="A16">
        <v>506</v>
      </c>
      <c r="B16">
        <v>2016883</v>
      </c>
      <c r="C16">
        <v>20168837</v>
      </c>
      <c r="D16" t="s">
        <v>1390</v>
      </c>
      <c r="E16" t="s">
        <v>2272</v>
      </c>
      <c r="F16">
        <v>996000</v>
      </c>
      <c r="G16" t="s">
        <v>2384</v>
      </c>
      <c r="H16">
        <v>90534</v>
      </c>
      <c r="I16">
        <v>3</v>
      </c>
      <c r="J16">
        <v>5</v>
      </c>
      <c r="K16">
        <v>36</v>
      </c>
      <c r="L16">
        <v>0</v>
      </c>
      <c r="M16">
        <v>406.8</v>
      </c>
      <c r="N16">
        <v>27070.2</v>
      </c>
      <c r="O16">
        <v>0</v>
      </c>
      <c r="P16">
        <v>0</v>
      </c>
      <c r="Q16">
        <v>25181.4</v>
      </c>
      <c r="R16">
        <v>0</v>
      </c>
      <c r="S16">
        <v>687.5</v>
      </c>
      <c r="T16">
        <v>24493.9</v>
      </c>
      <c r="U16">
        <v>0</v>
      </c>
      <c r="V16">
        <v>0</v>
      </c>
      <c r="W16">
        <v>0</v>
      </c>
      <c r="X16">
        <v>0</v>
      </c>
      <c r="Y16">
        <v>1888.8</v>
      </c>
      <c r="Z16">
        <v>0</v>
      </c>
      <c r="AA16">
        <v>0</v>
      </c>
      <c r="AB16">
        <v>1996000</v>
      </c>
      <c r="AC16" t="s">
        <v>251</v>
      </c>
    </row>
    <row r="17" spans="1:29" outlineLevel="1" x14ac:dyDescent="0.2">
      <c r="B17" s="386" t="s">
        <v>2760</v>
      </c>
      <c r="N17">
        <f>SUBTOTAL(9,N16:N16)</f>
        <v>27070.2</v>
      </c>
    </row>
    <row r="18" spans="1:29" outlineLevel="2" x14ac:dyDescent="0.2">
      <c r="A18">
        <v>506</v>
      </c>
      <c r="B18">
        <v>2016962</v>
      </c>
      <c r="C18">
        <v>20169629</v>
      </c>
      <c r="D18" t="s">
        <v>1374</v>
      </c>
      <c r="E18" t="s">
        <v>2332</v>
      </c>
      <c r="F18">
        <v>996000</v>
      </c>
      <c r="G18" t="s">
        <v>2384</v>
      </c>
      <c r="H18">
        <v>90534</v>
      </c>
      <c r="I18">
        <v>3</v>
      </c>
      <c r="J18">
        <v>11</v>
      </c>
      <c r="K18">
        <v>2</v>
      </c>
      <c r="L18">
        <v>0</v>
      </c>
      <c r="M18">
        <v>162</v>
      </c>
      <c r="N18">
        <v>62982.45</v>
      </c>
      <c r="O18">
        <v>0</v>
      </c>
      <c r="P18">
        <v>0</v>
      </c>
      <c r="Q18">
        <v>58588.2</v>
      </c>
      <c r="R18">
        <v>0</v>
      </c>
      <c r="S18">
        <v>0</v>
      </c>
      <c r="T18">
        <v>58588.2</v>
      </c>
      <c r="U18">
        <v>0</v>
      </c>
      <c r="V18">
        <v>0</v>
      </c>
      <c r="W18">
        <v>0</v>
      </c>
      <c r="X18">
        <v>0</v>
      </c>
      <c r="Y18">
        <v>4394.25</v>
      </c>
      <c r="Z18">
        <v>0</v>
      </c>
      <c r="AA18">
        <v>0</v>
      </c>
      <c r="AB18">
        <v>1996000</v>
      </c>
      <c r="AC18" t="s">
        <v>251</v>
      </c>
    </row>
    <row r="19" spans="1:29" outlineLevel="1" x14ac:dyDescent="0.2">
      <c r="B19" s="386" t="s">
        <v>2759</v>
      </c>
      <c r="N19">
        <f>SUBTOTAL(9,N18:N18)</f>
        <v>62982.45</v>
      </c>
    </row>
    <row r="20" spans="1:29" outlineLevel="2" x14ac:dyDescent="0.2">
      <c r="A20">
        <v>506</v>
      </c>
      <c r="B20">
        <v>2016970</v>
      </c>
      <c r="C20">
        <v>20169702</v>
      </c>
      <c r="D20" t="s">
        <v>1709</v>
      </c>
      <c r="E20" t="s">
        <v>2333</v>
      </c>
      <c r="F20">
        <v>996000</v>
      </c>
      <c r="G20" t="s">
        <v>2384</v>
      </c>
      <c r="H20">
        <v>90534</v>
      </c>
      <c r="I20">
        <v>3</v>
      </c>
      <c r="J20">
        <v>5</v>
      </c>
      <c r="K20">
        <v>7</v>
      </c>
      <c r="L20">
        <v>0</v>
      </c>
      <c r="M20">
        <v>245.7</v>
      </c>
      <c r="N20">
        <v>18479.400000000001</v>
      </c>
      <c r="O20">
        <v>0</v>
      </c>
      <c r="P20">
        <v>0</v>
      </c>
      <c r="Q20">
        <v>17190.05</v>
      </c>
      <c r="R20">
        <v>0</v>
      </c>
      <c r="S20">
        <v>415.25</v>
      </c>
      <c r="T20">
        <v>16774.8</v>
      </c>
      <c r="U20">
        <v>0</v>
      </c>
      <c r="V20">
        <v>0</v>
      </c>
      <c r="W20">
        <v>0</v>
      </c>
      <c r="X20">
        <v>0</v>
      </c>
      <c r="Y20">
        <v>1289.3499999999999</v>
      </c>
      <c r="Z20">
        <v>0</v>
      </c>
      <c r="AA20">
        <v>0</v>
      </c>
      <c r="AB20">
        <v>1996000</v>
      </c>
      <c r="AC20" t="s">
        <v>251</v>
      </c>
    </row>
    <row r="21" spans="1:29" outlineLevel="1" x14ac:dyDescent="0.2">
      <c r="B21" s="386" t="s">
        <v>2758</v>
      </c>
      <c r="N21">
        <f>SUBTOTAL(9,N20:N20)</f>
        <v>18479.400000000001</v>
      </c>
    </row>
    <row r="22" spans="1:29" outlineLevel="2" x14ac:dyDescent="0.2">
      <c r="A22">
        <v>506</v>
      </c>
      <c r="B22">
        <v>2016977</v>
      </c>
      <c r="C22">
        <v>20169777</v>
      </c>
      <c r="D22" t="s">
        <v>1709</v>
      </c>
      <c r="E22" t="s">
        <v>2334</v>
      </c>
      <c r="F22">
        <v>996000</v>
      </c>
      <c r="G22" t="s">
        <v>2384</v>
      </c>
      <c r="H22">
        <v>90534</v>
      </c>
      <c r="I22">
        <v>3</v>
      </c>
      <c r="J22">
        <v>5</v>
      </c>
      <c r="K22">
        <v>40</v>
      </c>
      <c r="L22">
        <v>0</v>
      </c>
      <c r="M22">
        <v>414.9</v>
      </c>
      <c r="N22">
        <v>35836.5</v>
      </c>
      <c r="O22">
        <v>0</v>
      </c>
      <c r="P22">
        <v>0</v>
      </c>
      <c r="Q22">
        <v>33336.400000000001</v>
      </c>
      <c r="R22">
        <v>0</v>
      </c>
      <c r="S22">
        <v>977.3</v>
      </c>
      <c r="T22">
        <v>32359.1</v>
      </c>
      <c r="U22">
        <v>0</v>
      </c>
      <c r="V22">
        <v>0</v>
      </c>
      <c r="W22">
        <v>0</v>
      </c>
      <c r="X22">
        <v>0</v>
      </c>
      <c r="Y22">
        <v>2500.1</v>
      </c>
      <c r="Z22">
        <v>0</v>
      </c>
      <c r="AA22">
        <v>0</v>
      </c>
      <c r="AB22">
        <v>1996000</v>
      </c>
      <c r="AC22" t="s">
        <v>251</v>
      </c>
    </row>
    <row r="23" spans="1:29" outlineLevel="1" x14ac:dyDescent="0.2">
      <c r="B23" s="386" t="s">
        <v>2757</v>
      </c>
      <c r="N23">
        <f>SUBTOTAL(9,N22:N22)</f>
        <v>35836.5</v>
      </c>
    </row>
    <row r="24" spans="1:29" outlineLevel="2" x14ac:dyDescent="0.2">
      <c r="A24">
        <v>506</v>
      </c>
      <c r="B24">
        <v>2021112</v>
      </c>
      <c r="C24">
        <v>20211124</v>
      </c>
      <c r="D24" t="s">
        <v>1419</v>
      </c>
      <c r="E24" t="s">
        <v>2437</v>
      </c>
      <c r="F24">
        <v>996000</v>
      </c>
      <c r="G24" t="s">
        <v>2384</v>
      </c>
      <c r="H24">
        <v>90534</v>
      </c>
      <c r="I24">
        <v>3</v>
      </c>
      <c r="J24">
        <v>5</v>
      </c>
      <c r="K24">
        <v>10</v>
      </c>
      <c r="L24">
        <v>0</v>
      </c>
      <c r="M24">
        <v>366.2</v>
      </c>
      <c r="N24">
        <v>34069.5</v>
      </c>
      <c r="O24">
        <v>0</v>
      </c>
      <c r="P24">
        <v>0</v>
      </c>
      <c r="Q24">
        <v>31692.55</v>
      </c>
      <c r="R24">
        <v>0</v>
      </c>
      <c r="S24">
        <v>0</v>
      </c>
      <c r="T24">
        <v>31692.55</v>
      </c>
      <c r="U24">
        <v>0</v>
      </c>
      <c r="V24">
        <v>0</v>
      </c>
      <c r="W24">
        <v>0</v>
      </c>
      <c r="X24">
        <v>0</v>
      </c>
      <c r="Y24">
        <v>2376.9499999999998</v>
      </c>
      <c r="Z24">
        <v>0</v>
      </c>
      <c r="AA24">
        <v>0</v>
      </c>
      <c r="AB24">
        <v>1996000</v>
      </c>
      <c r="AC24" t="s">
        <v>251</v>
      </c>
    </row>
    <row r="25" spans="1:29" outlineLevel="1" x14ac:dyDescent="0.2">
      <c r="B25" s="386" t="s">
        <v>2756</v>
      </c>
      <c r="N25">
        <f>SUBTOTAL(9,N24:N24)</f>
        <v>34069.5</v>
      </c>
    </row>
    <row r="26" spans="1:29" outlineLevel="2" x14ac:dyDescent="0.2">
      <c r="A26">
        <v>506</v>
      </c>
      <c r="B26">
        <v>2021139</v>
      </c>
      <c r="C26">
        <v>20211397</v>
      </c>
      <c r="D26" t="s">
        <v>1419</v>
      </c>
      <c r="E26" t="s">
        <v>2335</v>
      </c>
      <c r="F26">
        <v>996000</v>
      </c>
      <c r="G26" t="s">
        <v>2384</v>
      </c>
      <c r="H26">
        <v>90534</v>
      </c>
      <c r="I26">
        <v>3</v>
      </c>
      <c r="J26">
        <v>5</v>
      </c>
      <c r="K26">
        <v>5</v>
      </c>
      <c r="L26">
        <v>0</v>
      </c>
      <c r="M26">
        <v>288</v>
      </c>
      <c r="N26">
        <v>17992.849999999999</v>
      </c>
      <c r="O26">
        <v>0</v>
      </c>
      <c r="P26">
        <v>0</v>
      </c>
      <c r="Q26">
        <v>16737.400000000001</v>
      </c>
      <c r="R26">
        <v>0</v>
      </c>
      <c r="S26">
        <v>486.7</v>
      </c>
      <c r="T26">
        <v>16250.7</v>
      </c>
      <c r="U26">
        <v>0</v>
      </c>
      <c r="V26">
        <v>0</v>
      </c>
      <c r="W26">
        <v>0</v>
      </c>
      <c r="X26">
        <v>0</v>
      </c>
      <c r="Y26">
        <v>1255.45</v>
      </c>
      <c r="Z26">
        <v>0</v>
      </c>
      <c r="AA26">
        <v>0</v>
      </c>
      <c r="AB26">
        <v>1996000</v>
      </c>
      <c r="AC26" t="s">
        <v>251</v>
      </c>
    </row>
    <row r="27" spans="1:29" outlineLevel="1" x14ac:dyDescent="0.2">
      <c r="B27" s="386" t="s">
        <v>2755</v>
      </c>
      <c r="N27">
        <f>SUBTOTAL(9,N26:N26)</f>
        <v>17992.849999999999</v>
      </c>
    </row>
    <row r="28" spans="1:29" outlineLevel="2" x14ac:dyDescent="0.2">
      <c r="A28">
        <v>506</v>
      </c>
      <c r="B28">
        <v>2021141</v>
      </c>
      <c r="C28">
        <v>20211413</v>
      </c>
      <c r="D28" t="s">
        <v>2208</v>
      </c>
      <c r="E28" t="s">
        <v>2336</v>
      </c>
      <c r="F28">
        <v>996000</v>
      </c>
      <c r="G28" t="s">
        <v>2384</v>
      </c>
      <c r="H28">
        <v>90534</v>
      </c>
      <c r="I28">
        <v>3</v>
      </c>
      <c r="J28">
        <v>5</v>
      </c>
      <c r="K28">
        <v>13</v>
      </c>
      <c r="L28">
        <v>0</v>
      </c>
      <c r="M28">
        <v>603</v>
      </c>
      <c r="N28">
        <v>86348.5</v>
      </c>
      <c r="O28">
        <v>0</v>
      </c>
      <c r="P28">
        <v>0</v>
      </c>
      <c r="Q28">
        <v>80324.2</v>
      </c>
      <c r="R28">
        <v>0</v>
      </c>
      <c r="S28">
        <v>1420.4</v>
      </c>
      <c r="T28">
        <v>78903.8</v>
      </c>
      <c r="U28">
        <v>0</v>
      </c>
      <c r="V28">
        <v>0</v>
      </c>
      <c r="W28">
        <v>0</v>
      </c>
      <c r="X28">
        <v>0</v>
      </c>
      <c r="Y28">
        <v>6024.3</v>
      </c>
      <c r="Z28">
        <v>0</v>
      </c>
      <c r="AA28">
        <v>0</v>
      </c>
      <c r="AB28">
        <v>1996000</v>
      </c>
      <c r="AC28" t="s">
        <v>251</v>
      </c>
    </row>
    <row r="29" spans="1:29" outlineLevel="1" x14ac:dyDescent="0.2">
      <c r="B29" s="386" t="s">
        <v>2754</v>
      </c>
      <c r="N29">
        <f>SUBTOTAL(9,N28:N28)</f>
        <v>86348.5</v>
      </c>
    </row>
    <row r="30" spans="1:29" outlineLevel="2" x14ac:dyDescent="0.2">
      <c r="A30">
        <v>506</v>
      </c>
      <c r="B30">
        <v>2021217</v>
      </c>
      <c r="C30">
        <v>20212171</v>
      </c>
      <c r="D30" t="s">
        <v>1390</v>
      </c>
      <c r="E30" t="s">
        <v>2337</v>
      </c>
      <c r="F30">
        <v>996000</v>
      </c>
      <c r="G30" t="s">
        <v>2384</v>
      </c>
      <c r="H30">
        <v>90534</v>
      </c>
      <c r="I30">
        <v>3</v>
      </c>
      <c r="J30">
        <v>11</v>
      </c>
      <c r="K30">
        <v>1</v>
      </c>
      <c r="L30">
        <v>0</v>
      </c>
      <c r="M30">
        <v>348.3</v>
      </c>
      <c r="N30">
        <v>143472.6</v>
      </c>
      <c r="O30">
        <v>0</v>
      </c>
      <c r="P30">
        <v>0</v>
      </c>
      <c r="Q30">
        <v>133462.79999999999</v>
      </c>
      <c r="R30">
        <v>0</v>
      </c>
      <c r="S30">
        <v>0</v>
      </c>
      <c r="T30">
        <v>133462.79999999999</v>
      </c>
      <c r="U30">
        <v>0</v>
      </c>
      <c r="V30">
        <v>0</v>
      </c>
      <c r="W30">
        <v>0</v>
      </c>
      <c r="X30">
        <v>0</v>
      </c>
      <c r="Y30">
        <v>10009.799999999999</v>
      </c>
      <c r="Z30">
        <v>0</v>
      </c>
      <c r="AA30">
        <v>0</v>
      </c>
      <c r="AB30">
        <v>1996000</v>
      </c>
      <c r="AC30" t="s">
        <v>251</v>
      </c>
    </row>
    <row r="31" spans="1:29" outlineLevel="1" x14ac:dyDescent="0.2">
      <c r="B31" s="386" t="s">
        <v>2753</v>
      </c>
      <c r="N31">
        <f>SUBTOTAL(9,N30:N30)</f>
        <v>143472.6</v>
      </c>
    </row>
    <row r="32" spans="1:29" outlineLevel="2" x14ac:dyDescent="0.2">
      <c r="A32">
        <v>506</v>
      </c>
      <c r="B32">
        <v>2021259</v>
      </c>
      <c r="C32">
        <v>20212593</v>
      </c>
      <c r="D32" t="s">
        <v>1419</v>
      </c>
      <c r="E32" t="s">
        <v>2338</v>
      </c>
      <c r="F32">
        <v>996000</v>
      </c>
      <c r="G32" t="s">
        <v>2384</v>
      </c>
      <c r="H32">
        <v>90534</v>
      </c>
      <c r="I32">
        <v>3</v>
      </c>
      <c r="J32">
        <v>5</v>
      </c>
      <c r="K32">
        <v>10</v>
      </c>
      <c r="L32">
        <v>0</v>
      </c>
      <c r="M32">
        <v>94.6</v>
      </c>
      <c r="N32">
        <v>7742.46</v>
      </c>
      <c r="O32">
        <v>0</v>
      </c>
      <c r="P32">
        <v>0</v>
      </c>
      <c r="Q32">
        <v>7202.26</v>
      </c>
      <c r="R32">
        <v>0</v>
      </c>
      <c r="S32">
        <v>0</v>
      </c>
      <c r="T32">
        <v>7202.26</v>
      </c>
      <c r="U32">
        <v>0</v>
      </c>
      <c r="V32">
        <v>0</v>
      </c>
      <c r="W32">
        <v>0</v>
      </c>
      <c r="X32">
        <v>0</v>
      </c>
      <c r="Y32">
        <v>540.20000000000005</v>
      </c>
      <c r="Z32">
        <v>0</v>
      </c>
      <c r="AA32">
        <v>0</v>
      </c>
      <c r="AB32">
        <v>1996000</v>
      </c>
      <c r="AC32" t="s">
        <v>251</v>
      </c>
    </row>
    <row r="33" spans="1:29" outlineLevel="1" x14ac:dyDescent="0.2">
      <c r="B33" s="386" t="s">
        <v>2752</v>
      </c>
      <c r="N33">
        <f>SUBTOTAL(9,N32:N32)</f>
        <v>7742.46</v>
      </c>
    </row>
    <row r="34" spans="1:29" outlineLevel="2" x14ac:dyDescent="0.2">
      <c r="A34">
        <v>506</v>
      </c>
      <c r="B34">
        <v>2021321</v>
      </c>
      <c r="C34">
        <v>20213211</v>
      </c>
      <c r="D34" t="s">
        <v>2138</v>
      </c>
      <c r="E34" t="s">
        <v>2372</v>
      </c>
      <c r="F34">
        <v>996000</v>
      </c>
      <c r="G34" t="s">
        <v>2384</v>
      </c>
      <c r="H34">
        <v>90534</v>
      </c>
      <c r="I34">
        <v>3</v>
      </c>
      <c r="J34">
        <v>11</v>
      </c>
      <c r="K34">
        <v>2</v>
      </c>
      <c r="L34">
        <v>0</v>
      </c>
      <c r="M34">
        <v>38.4</v>
      </c>
      <c r="N34">
        <v>14930.2</v>
      </c>
      <c r="O34">
        <v>0</v>
      </c>
      <c r="P34">
        <v>0</v>
      </c>
      <c r="Q34">
        <v>13888.6</v>
      </c>
      <c r="R34">
        <v>0</v>
      </c>
      <c r="S34">
        <v>0</v>
      </c>
      <c r="T34">
        <v>13888.6</v>
      </c>
      <c r="U34">
        <v>0</v>
      </c>
      <c r="V34">
        <v>0</v>
      </c>
      <c r="W34">
        <v>0</v>
      </c>
      <c r="X34">
        <v>0</v>
      </c>
      <c r="Y34">
        <v>1041.5999999999999</v>
      </c>
      <c r="Z34">
        <v>0</v>
      </c>
      <c r="AA34">
        <v>0</v>
      </c>
      <c r="AB34">
        <v>1996000</v>
      </c>
      <c r="AC34" t="s">
        <v>251</v>
      </c>
    </row>
    <row r="35" spans="1:29" outlineLevel="1" x14ac:dyDescent="0.2">
      <c r="B35" s="386" t="s">
        <v>2751</v>
      </c>
      <c r="N35">
        <f>SUBTOTAL(9,N34:N34)</f>
        <v>14930.2</v>
      </c>
    </row>
    <row r="36" spans="1:29" outlineLevel="2" x14ac:dyDescent="0.2">
      <c r="A36">
        <v>506</v>
      </c>
      <c r="B36">
        <v>2021340</v>
      </c>
      <c r="C36">
        <v>20213401</v>
      </c>
      <c r="D36" t="s">
        <v>932</v>
      </c>
      <c r="E36" t="s">
        <v>2339</v>
      </c>
      <c r="F36">
        <v>996000</v>
      </c>
      <c r="G36" t="s">
        <v>2384</v>
      </c>
      <c r="H36">
        <v>90534</v>
      </c>
      <c r="I36">
        <v>3</v>
      </c>
      <c r="J36">
        <v>5</v>
      </c>
      <c r="K36">
        <v>8</v>
      </c>
      <c r="L36">
        <v>0</v>
      </c>
      <c r="M36">
        <v>241.2</v>
      </c>
      <c r="N36">
        <v>16629.5</v>
      </c>
      <c r="O36">
        <v>0</v>
      </c>
      <c r="P36">
        <v>0</v>
      </c>
      <c r="Q36">
        <v>15469.3</v>
      </c>
      <c r="R36">
        <v>0</v>
      </c>
      <c r="S36">
        <v>568.15</v>
      </c>
      <c r="T36">
        <v>14901.15</v>
      </c>
      <c r="U36">
        <v>0</v>
      </c>
      <c r="V36">
        <v>0</v>
      </c>
      <c r="W36">
        <v>0</v>
      </c>
      <c r="X36">
        <v>0</v>
      </c>
      <c r="Y36">
        <v>1160.2</v>
      </c>
      <c r="Z36">
        <v>0</v>
      </c>
      <c r="AA36">
        <v>0</v>
      </c>
      <c r="AB36">
        <v>1996000</v>
      </c>
      <c r="AC36" t="s">
        <v>251</v>
      </c>
    </row>
    <row r="37" spans="1:29" outlineLevel="1" x14ac:dyDescent="0.2">
      <c r="B37" s="386" t="s">
        <v>2750</v>
      </c>
      <c r="N37">
        <f>SUBTOTAL(9,N36:N36)</f>
        <v>16629.5</v>
      </c>
    </row>
    <row r="38" spans="1:29" outlineLevel="2" x14ac:dyDescent="0.2">
      <c r="A38">
        <v>506</v>
      </c>
      <c r="B38">
        <v>2021420</v>
      </c>
      <c r="C38">
        <v>20214201</v>
      </c>
      <c r="D38" t="s">
        <v>1390</v>
      </c>
      <c r="E38" t="s">
        <v>2340</v>
      </c>
      <c r="F38">
        <v>996000</v>
      </c>
      <c r="G38" t="s">
        <v>2384</v>
      </c>
      <c r="H38">
        <v>90534</v>
      </c>
      <c r="I38">
        <v>3</v>
      </c>
      <c r="J38">
        <v>5</v>
      </c>
      <c r="K38">
        <v>5</v>
      </c>
      <c r="L38">
        <v>0</v>
      </c>
      <c r="M38">
        <v>180</v>
      </c>
      <c r="N38">
        <v>10906</v>
      </c>
      <c r="O38">
        <v>0</v>
      </c>
      <c r="P38">
        <v>0</v>
      </c>
      <c r="Q38">
        <v>10145.25</v>
      </c>
      <c r="R38">
        <v>0</v>
      </c>
      <c r="S38">
        <v>304.2</v>
      </c>
      <c r="T38">
        <v>9841.0499999999993</v>
      </c>
      <c r="U38">
        <v>0</v>
      </c>
      <c r="V38">
        <v>0</v>
      </c>
      <c r="W38">
        <v>0</v>
      </c>
      <c r="X38">
        <v>0</v>
      </c>
      <c r="Y38">
        <v>760.75</v>
      </c>
      <c r="Z38">
        <v>0</v>
      </c>
      <c r="AA38">
        <v>0</v>
      </c>
      <c r="AB38">
        <v>1996000</v>
      </c>
      <c r="AC38" t="s">
        <v>251</v>
      </c>
    </row>
    <row r="39" spans="1:29" outlineLevel="1" x14ac:dyDescent="0.2">
      <c r="B39" s="386" t="s">
        <v>2749</v>
      </c>
      <c r="N39">
        <f>SUBTOTAL(9,N38:N38)</f>
        <v>10906</v>
      </c>
    </row>
    <row r="40" spans="1:29" outlineLevel="2" x14ac:dyDescent="0.2">
      <c r="A40">
        <v>506</v>
      </c>
      <c r="B40">
        <v>2021475</v>
      </c>
      <c r="C40">
        <v>20214755</v>
      </c>
      <c r="D40" t="s">
        <v>1709</v>
      </c>
      <c r="E40" t="s">
        <v>2325</v>
      </c>
      <c r="F40">
        <v>996000</v>
      </c>
      <c r="G40" t="s">
        <v>2384</v>
      </c>
      <c r="H40">
        <v>90534</v>
      </c>
      <c r="I40">
        <v>3</v>
      </c>
      <c r="J40">
        <v>5</v>
      </c>
      <c r="K40">
        <v>13</v>
      </c>
      <c r="L40">
        <v>0</v>
      </c>
      <c r="M40">
        <v>316.8</v>
      </c>
      <c r="N40">
        <v>38410.400000000001</v>
      </c>
      <c r="O40">
        <v>0</v>
      </c>
      <c r="P40">
        <v>0</v>
      </c>
      <c r="Q40">
        <v>35730.550000000003</v>
      </c>
      <c r="R40">
        <v>0</v>
      </c>
      <c r="S40">
        <v>746.25</v>
      </c>
      <c r="T40">
        <v>34984.300000000003</v>
      </c>
      <c r="U40">
        <v>0</v>
      </c>
      <c r="V40">
        <v>0</v>
      </c>
      <c r="W40">
        <v>0</v>
      </c>
      <c r="X40">
        <v>0</v>
      </c>
      <c r="Y40">
        <v>2679.85</v>
      </c>
      <c r="Z40">
        <v>0</v>
      </c>
      <c r="AA40">
        <v>0</v>
      </c>
      <c r="AB40">
        <v>1996000</v>
      </c>
      <c r="AC40" t="s">
        <v>251</v>
      </c>
    </row>
    <row r="41" spans="1:29" outlineLevel="1" x14ac:dyDescent="0.2">
      <c r="B41" s="386" t="s">
        <v>2748</v>
      </c>
      <c r="N41">
        <f>SUBTOTAL(9,N40:N40)</f>
        <v>38410.400000000001</v>
      </c>
    </row>
    <row r="42" spans="1:29" outlineLevel="2" x14ac:dyDescent="0.2">
      <c r="A42">
        <v>506</v>
      </c>
      <c r="B42">
        <v>2021476</v>
      </c>
      <c r="C42">
        <v>20214763</v>
      </c>
      <c r="D42" t="s">
        <v>1709</v>
      </c>
      <c r="E42" t="s">
        <v>2341</v>
      </c>
      <c r="F42">
        <v>996000</v>
      </c>
      <c r="G42" t="s">
        <v>2384</v>
      </c>
      <c r="H42">
        <v>90534</v>
      </c>
      <c r="I42">
        <v>3</v>
      </c>
      <c r="J42">
        <v>5</v>
      </c>
      <c r="K42">
        <v>40</v>
      </c>
      <c r="L42">
        <v>0</v>
      </c>
      <c r="M42">
        <v>239.4</v>
      </c>
      <c r="N42">
        <v>18712.3</v>
      </c>
      <c r="O42">
        <v>0</v>
      </c>
      <c r="P42">
        <v>0</v>
      </c>
      <c r="Q42">
        <v>17406.900000000001</v>
      </c>
      <c r="R42">
        <v>0</v>
      </c>
      <c r="S42">
        <v>563.9</v>
      </c>
      <c r="T42">
        <v>16843</v>
      </c>
      <c r="U42">
        <v>0</v>
      </c>
      <c r="V42">
        <v>0</v>
      </c>
      <c r="W42">
        <v>0</v>
      </c>
      <c r="X42">
        <v>0</v>
      </c>
      <c r="Y42">
        <v>1305.4000000000001</v>
      </c>
      <c r="Z42">
        <v>0</v>
      </c>
      <c r="AA42">
        <v>0</v>
      </c>
      <c r="AB42">
        <v>1996000</v>
      </c>
      <c r="AC42" t="s">
        <v>251</v>
      </c>
    </row>
    <row r="43" spans="1:29" outlineLevel="1" x14ac:dyDescent="0.2">
      <c r="B43" s="386" t="s">
        <v>2747</v>
      </c>
      <c r="N43">
        <f>SUBTOTAL(9,N42:N42)</f>
        <v>18712.3</v>
      </c>
    </row>
    <row r="44" spans="1:29" outlineLevel="2" x14ac:dyDescent="0.2">
      <c r="A44">
        <v>506</v>
      </c>
      <c r="B44">
        <v>2021542</v>
      </c>
      <c r="C44">
        <v>20215422</v>
      </c>
      <c r="D44" t="s">
        <v>2131</v>
      </c>
      <c r="E44" t="s">
        <v>2342</v>
      </c>
      <c r="F44">
        <v>996000</v>
      </c>
      <c r="G44" t="s">
        <v>2384</v>
      </c>
      <c r="H44">
        <v>90534</v>
      </c>
      <c r="I44">
        <v>3</v>
      </c>
      <c r="J44">
        <v>5</v>
      </c>
      <c r="K44">
        <v>6</v>
      </c>
      <c r="L44">
        <v>0</v>
      </c>
      <c r="M44">
        <v>394.2</v>
      </c>
      <c r="N44">
        <v>27991.25</v>
      </c>
      <c r="O44">
        <v>0</v>
      </c>
      <c r="P44">
        <v>0</v>
      </c>
      <c r="Q44">
        <v>26038.3</v>
      </c>
      <c r="R44">
        <v>0</v>
      </c>
      <c r="S44">
        <v>666.8</v>
      </c>
      <c r="T44">
        <v>25371.5</v>
      </c>
      <c r="U44">
        <v>0</v>
      </c>
      <c r="V44">
        <v>0</v>
      </c>
      <c r="W44">
        <v>0</v>
      </c>
      <c r="X44">
        <v>0</v>
      </c>
      <c r="Y44">
        <v>1952.95</v>
      </c>
      <c r="Z44">
        <v>0</v>
      </c>
      <c r="AA44">
        <v>0</v>
      </c>
      <c r="AB44">
        <v>1996000</v>
      </c>
      <c r="AC44" t="s">
        <v>251</v>
      </c>
    </row>
    <row r="45" spans="1:29" outlineLevel="1" x14ac:dyDescent="0.2">
      <c r="B45" s="386" t="s">
        <v>2746</v>
      </c>
      <c r="N45">
        <f>SUBTOTAL(9,N44:N44)</f>
        <v>27991.25</v>
      </c>
    </row>
    <row r="46" spans="1:29" outlineLevel="2" x14ac:dyDescent="0.2">
      <c r="A46">
        <v>506</v>
      </c>
      <c r="B46">
        <v>2021543</v>
      </c>
      <c r="C46">
        <v>20215430</v>
      </c>
      <c r="D46" t="s">
        <v>2131</v>
      </c>
      <c r="E46" t="s">
        <v>2343</v>
      </c>
      <c r="F46">
        <v>996000</v>
      </c>
      <c r="G46" t="s">
        <v>2384</v>
      </c>
      <c r="H46">
        <v>90534</v>
      </c>
      <c r="I46">
        <v>3</v>
      </c>
      <c r="J46">
        <v>5</v>
      </c>
      <c r="K46">
        <v>5</v>
      </c>
      <c r="L46">
        <v>0</v>
      </c>
      <c r="M46">
        <v>297</v>
      </c>
      <c r="N46">
        <v>18622.3</v>
      </c>
      <c r="O46">
        <v>0</v>
      </c>
      <c r="P46">
        <v>0</v>
      </c>
      <c r="Q46">
        <v>17322.95</v>
      </c>
      <c r="R46">
        <v>0</v>
      </c>
      <c r="S46">
        <v>501.95</v>
      </c>
      <c r="T46">
        <v>16821</v>
      </c>
      <c r="U46">
        <v>0</v>
      </c>
      <c r="V46">
        <v>0</v>
      </c>
      <c r="W46">
        <v>0</v>
      </c>
      <c r="X46">
        <v>0</v>
      </c>
      <c r="Y46">
        <v>1299.3499999999999</v>
      </c>
      <c r="Z46">
        <v>0</v>
      </c>
      <c r="AA46">
        <v>0</v>
      </c>
      <c r="AB46">
        <v>1996000</v>
      </c>
      <c r="AC46" t="s">
        <v>251</v>
      </c>
    </row>
    <row r="47" spans="1:29" outlineLevel="1" x14ac:dyDescent="0.2">
      <c r="B47" s="386" t="s">
        <v>2745</v>
      </c>
      <c r="N47">
        <f>SUBTOTAL(9,N46:N46)</f>
        <v>18622.3</v>
      </c>
    </row>
    <row r="48" spans="1:29" outlineLevel="2" x14ac:dyDescent="0.2">
      <c r="A48">
        <v>506</v>
      </c>
      <c r="B48">
        <v>2021588</v>
      </c>
      <c r="C48">
        <v>20215885</v>
      </c>
      <c r="D48" t="s">
        <v>2131</v>
      </c>
      <c r="E48" t="s">
        <v>2438</v>
      </c>
      <c r="F48">
        <v>996000</v>
      </c>
      <c r="G48" t="s">
        <v>2384</v>
      </c>
      <c r="H48">
        <v>90534</v>
      </c>
      <c r="I48">
        <v>3</v>
      </c>
      <c r="J48">
        <v>11</v>
      </c>
      <c r="K48">
        <v>1</v>
      </c>
      <c r="L48">
        <v>0</v>
      </c>
      <c r="M48">
        <v>4.4000000000000004</v>
      </c>
      <c r="N48">
        <v>1695.1</v>
      </c>
      <c r="O48">
        <v>0</v>
      </c>
      <c r="P48">
        <v>0</v>
      </c>
      <c r="Q48">
        <v>1695.1</v>
      </c>
      <c r="R48">
        <v>0</v>
      </c>
      <c r="S48">
        <v>0</v>
      </c>
      <c r="T48">
        <v>1695.1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1996000</v>
      </c>
      <c r="AC48" t="s">
        <v>251</v>
      </c>
    </row>
    <row r="49" spans="1:29" outlineLevel="1" x14ac:dyDescent="0.2">
      <c r="B49" s="386" t="s">
        <v>2744</v>
      </c>
      <c r="N49">
        <f>SUBTOTAL(9,N48:N48)</f>
        <v>1695.1</v>
      </c>
    </row>
    <row r="50" spans="1:29" outlineLevel="2" x14ac:dyDescent="0.2">
      <c r="A50">
        <v>506</v>
      </c>
      <c r="B50">
        <v>2021625</v>
      </c>
      <c r="C50">
        <v>20216255</v>
      </c>
      <c r="D50" t="s">
        <v>1374</v>
      </c>
      <c r="E50" t="s">
        <v>2116</v>
      </c>
      <c r="F50">
        <v>996000</v>
      </c>
      <c r="G50" t="s">
        <v>2384</v>
      </c>
      <c r="H50">
        <v>90534</v>
      </c>
      <c r="I50">
        <v>3</v>
      </c>
      <c r="J50">
        <v>5</v>
      </c>
      <c r="K50">
        <v>7</v>
      </c>
      <c r="L50">
        <v>0</v>
      </c>
      <c r="M50">
        <v>360</v>
      </c>
      <c r="N50">
        <v>22252.45</v>
      </c>
      <c r="O50">
        <v>0</v>
      </c>
      <c r="P50">
        <v>0</v>
      </c>
      <c r="Q50">
        <v>22252.45</v>
      </c>
      <c r="R50">
        <v>0</v>
      </c>
      <c r="S50">
        <v>0</v>
      </c>
      <c r="T50">
        <v>22252.45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1996000</v>
      </c>
      <c r="AC50" t="s">
        <v>251</v>
      </c>
    </row>
    <row r="51" spans="1:29" outlineLevel="1" x14ac:dyDescent="0.2">
      <c r="B51" s="386" t="s">
        <v>2743</v>
      </c>
      <c r="N51">
        <f>SUBTOTAL(9,N50:N50)</f>
        <v>22252.45</v>
      </c>
    </row>
    <row r="52" spans="1:29" outlineLevel="2" x14ac:dyDescent="0.2">
      <c r="A52">
        <v>506</v>
      </c>
      <c r="B52">
        <v>2021917</v>
      </c>
      <c r="C52">
        <v>20219176</v>
      </c>
      <c r="D52" t="s">
        <v>2131</v>
      </c>
      <c r="E52" t="s">
        <v>2344</v>
      </c>
      <c r="F52">
        <v>996000</v>
      </c>
      <c r="G52" t="s">
        <v>2384</v>
      </c>
      <c r="H52">
        <v>90534</v>
      </c>
      <c r="I52">
        <v>3</v>
      </c>
      <c r="J52">
        <v>5</v>
      </c>
      <c r="K52">
        <v>41</v>
      </c>
      <c r="L52">
        <v>0</v>
      </c>
      <c r="M52">
        <v>205.2</v>
      </c>
      <c r="N52">
        <v>16474.2</v>
      </c>
      <c r="O52">
        <v>0</v>
      </c>
      <c r="P52">
        <v>0</v>
      </c>
      <c r="Q52">
        <v>15324.95</v>
      </c>
      <c r="R52">
        <v>0</v>
      </c>
      <c r="S52">
        <v>483.35</v>
      </c>
      <c r="T52">
        <v>14841.6</v>
      </c>
      <c r="U52">
        <v>0</v>
      </c>
      <c r="V52">
        <v>0</v>
      </c>
      <c r="W52">
        <v>0</v>
      </c>
      <c r="X52">
        <v>0</v>
      </c>
      <c r="Y52">
        <v>1149.25</v>
      </c>
      <c r="Z52">
        <v>0</v>
      </c>
      <c r="AA52">
        <v>0</v>
      </c>
      <c r="AB52">
        <v>1996000</v>
      </c>
      <c r="AC52" t="s">
        <v>251</v>
      </c>
    </row>
    <row r="53" spans="1:29" outlineLevel="1" x14ac:dyDescent="0.2">
      <c r="B53" s="386" t="s">
        <v>2742</v>
      </c>
      <c r="N53">
        <f>SUBTOTAL(9,N52:N52)</f>
        <v>16474.2</v>
      </c>
    </row>
    <row r="54" spans="1:29" outlineLevel="2" x14ac:dyDescent="0.2">
      <c r="A54">
        <v>506</v>
      </c>
      <c r="B54">
        <v>2021981</v>
      </c>
      <c r="C54">
        <v>20219812</v>
      </c>
      <c r="D54" t="s">
        <v>1709</v>
      </c>
      <c r="E54" t="s">
        <v>1513</v>
      </c>
      <c r="F54">
        <v>996000</v>
      </c>
      <c r="G54" t="s">
        <v>2384</v>
      </c>
      <c r="H54">
        <v>90534</v>
      </c>
      <c r="I54">
        <v>3</v>
      </c>
      <c r="J54">
        <v>5</v>
      </c>
      <c r="K54">
        <v>40</v>
      </c>
      <c r="L54">
        <v>0</v>
      </c>
      <c r="M54">
        <v>504</v>
      </c>
      <c r="N54">
        <v>39450.85</v>
      </c>
      <c r="O54">
        <v>0</v>
      </c>
      <c r="P54">
        <v>0</v>
      </c>
      <c r="Q54">
        <v>36698.5</v>
      </c>
      <c r="R54">
        <v>0</v>
      </c>
      <c r="S54">
        <v>1187.2</v>
      </c>
      <c r="T54">
        <v>35511.300000000003</v>
      </c>
      <c r="U54">
        <v>0</v>
      </c>
      <c r="V54">
        <v>0</v>
      </c>
      <c r="W54">
        <v>0</v>
      </c>
      <c r="X54">
        <v>0</v>
      </c>
      <c r="Y54">
        <v>2752.35</v>
      </c>
      <c r="Z54">
        <v>0</v>
      </c>
      <c r="AA54">
        <v>0</v>
      </c>
      <c r="AB54">
        <v>1996000</v>
      </c>
      <c r="AC54" t="s">
        <v>251</v>
      </c>
    </row>
    <row r="55" spans="1:29" outlineLevel="1" x14ac:dyDescent="0.2">
      <c r="B55" s="386" t="s">
        <v>2741</v>
      </c>
      <c r="N55">
        <f>SUBTOTAL(9,N54:N54)</f>
        <v>39450.85</v>
      </c>
    </row>
    <row r="56" spans="1:29" outlineLevel="2" x14ac:dyDescent="0.2">
      <c r="A56">
        <v>506</v>
      </c>
      <c r="B56">
        <v>2049048</v>
      </c>
      <c r="C56">
        <v>20490488</v>
      </c>
      <c r="D56" t="s">
        <v>2345</v>
      </c>
      <c r="E56" t="s">
        <v>2346</v>
      </c>
      <c r="F56">
        <v>996000</v>
      </c>
      <c r="G56" t="s">
        <v>2384</v>
      </c>
      <c r="H56">
        <v>90534</v>
      </c>
      <c r="I56">
        <v>0</v>
      </c>
      <c r="J56">
        <v>5</v>
      </c>
      <c r="K56">
        <v>4</v>
      </c>
      <c r="L56">
        <v>0</v>
      </c>
      <c r="M56">
        <v>145.80000000000001</v>
      </c>
      <c r="N56">
        <v>8870.19</v>
      </c>
      <c r="O56">
        <v>0</v>
      </c>
      <c r="P56">
        <v>31.22</v>
      </c>
      <c r="Q56">
        <v>8222.32</v>
      </c>
      <c r="R56">
        <v>0</v>
      </c>
      <c r="S56">
        <v>618.20000000000005</v>
      </c>
      <c r="T56">
        <v>0</v>
      </c>
      <c r="U56">
        <v>0</v>
      </c>
      <c r="V56">
        <v>44.1</v>
      </c>
      <c r="W56">
        <v>0</v>
      </c>
      <c r="X56">
        <v>7560.02</v>
      </c>
      <c r="Y56">
        <v>616.65</v>
      </c>
      <c r="Z56">
        <v>0</v>
      </c>
      <c r="AA56">
        <v>0</v>
      </c>
      <c r="AB56">
        <v>1996000</v>
      </c>
      <c r="AC56" t="s">
        <v>251</v>
      </c>
    </row>
    <row r="57" spans="1:29" outlineLevel="1" x14ac:dyDescent="0.2">
      <c r="B57" s="386" t="s">
        <v>2740</v>
      </c>
      <c r="N57">
        <f>SUBTOTAL(9,N56:N56)</f>
        <v>8870.19</v>
      </c>
    </row>
    <row r="58" spans="1:29" outlineLevel="2" x14ac:dyDescent="0.2">
      <c r="A58">
        <v>506</v>
      </c>
      <c r="B58">
        <v>2049080</v>
      </c>
      <c r="C58">
        <v>20490801</v>
      </c>
      <c r="D58" t="s">
        <v>1419</v>
      </c>
      <c r="E58" t="s">
        <v>2347</v>
      </c>
      <c r="F58">
        <v>996000</v>
      </c>
      <c r="G58" t="s">
        <v>2384</v>
      </c>
      <c r="H58">
        <v>90534</v>
      </c>
      <c r="I58">
        <v>3</v>
      </c>
      <c r="J58">
        <v>5</v>
      </c>
      <c r="K58">
        <v>12</v>
      </c>
      <c r="L58">
        <v>0</v>
      </c>
      <c r="M58">
        <v>357.3</v>
      </c>
      <c r="N58">
        <v>34739.15</v>
      </c>
      <c r="O58">
        <v>0</v>
      </c>
      <c r="P58">
        <v>0</v>
      </c>
      <c r="Q58">
        <v>32315.5</v>
      </c>
      <c r="R58">
        <v>0</v>
      </c>
      <c r="S58">
        <v>716.55</v>
      </c>
      <c r="T58">
        <v>31598.95</v>
      </c>
      <c r="U58">
        <v>0</v>
      </c>
      <c r="V58">
        <v>0</v>
      </c>
      <c r="W58">
        <v>0</v>
      </c>
      <c r="X58">
        <v>0</v>
      </c>
      <c r="Y58">
        <v>2423.65</v>
      </c>
      <c r="Z58">
        <v>0</v>
      </c>
      <c r="AA58">
        <v>0</v>
      </c>
      <c r="AB58">
        <v>1996000</v>
      </c>
      <c r="AC58" t="s">
        <v>251</v>
      </c>
    </row>
    <row r="59" spans="1:29" outlineLevel="1" x14ac:dyDescent="0.2">
      <c r="B59" s="386" t="s">
        <v>2739</v>
      </c>
      <c r="N59">
        <f>SUBTOTAL(9,N58:N58)</f>
        <v>34739.15</v>
      </c>
    </row>
    <row r="60" spans="1:29" outlineLevel="2" x14ac:dyDescent="0.2">
      <c r="A60">
        <v>506</v>
      </c>
      <c r="B60">
        <v>2072913</v>
      </c>
      <c r="C60">
        <v>20729133</v>
      </c>
      <c r="D60" t="s">
        <v>2170</v>
      </c>
      <c r="E60" t="s">
        <v>2348</v>
      </c>
      <c r="F60">
        <v>996000</v>
      </c>
      <c r="G60" t="s">
        <v>2384</v>
      </c>
      <c r="H60">
        <v>90534</v>
      </c>
      <c r="I60">
        <v>3</v>
      </c>
      <c r="J60">
        <v>5</v>
      </c>
      <c r="K60">
        <v>5</v>
      </c>
      <c r="L60">
        <v>0</v>
      </c>
      <c r="M60">
        <v>207</v>
      </c>
      <c r="N60">
        <v>11339.65</v>
      </c>
      <c r="O60">
        <v>0</v>
      </c>
      <c r="P60">
        <v>0</v>
      </c>
      <c r="Q60">
        <v>10548.5</v>
      </c>
      <c r="R60">
        <v>0</v>
      </c>
      <c r="S60">
        <v>612.95000000000005</v>
      </c>
      <c r="T60">
        <v>9935.5499999999993</v>
      </c>
      <c r="U60">
        <v>0</v>
      </c>
      <c r="V60">
        <v>0</v>
      </c>
      <c r="W60">
        <v>0</v>
      </c>
      <c r="X60">
        <v>0</v>
      </c>
      <c r="Y60">
        <v>791.15</v>
      </c>
      <c r="Z60">
        <v>0</v>
      </c>
      <c r="AA60">
        <v>0</v>
      </c>
      <c r="AB60">
        <v>1996000</v>
      </c>
      <c r="AC60" t="s">
        <v>251</v>
      </c>
    </row>
    <row r="61" spans="1:29" outlineLevel="1" x14ac:dyDescent="0.2">
      <c r="B61" s="386" t="s">
        <v>2738</v>
      </c>
      <c r="N61">
        <f>SUBTOTAL(9,N60:N60)</f>
        <v>11339.65</v>
      </c>
    </row>
    <row r="62" spans="1:29" outlineLevel="2" x14ac:dyDescent="0.2">
      <c r="A62">
        <v>506</v>
      </c>
      <c r="B62">
        <v>2086235</v>
      </c>
      <c r="C62">
        <v>20862355</v>
      </c>
      <c r="D62" t="s">
        <v>2138</v>
      </c>
      <c r="E62" t="s">
        <v>2349</v>
      </c>
      <c r="F62">
        <v>996000</v>
      </c>
      <c r="G62" t="s">
        <v>2384</v>
      </c>
      <c r="H62">
        <v>90534</v>
      </c>
      <c r="I62">
        <v>3</v>
      </c>
      <c r="J62">
        <v>11</v>
      </c>
      <c r="K62">
        <v>2</v>
      </c>
      <c r="L62">
        <v>0</v>
      </c>
      <c r="M62">
        <v>46.2</v>
      </c>
      <c r="N62">
        <v>19469.349999999999</v>
      </c>
      <c r="O62">
        <v>0</v>
      </c>
      <c r="P62">
        <v>0</v>
      </c>
      <c r="Q62">
        <v>19448.95</v>
      </c>
      <c r="R62">
        <v>0</v>
      </c>
      <c r="S62">
        <v>0</v>
      </c>
      <c r="T62">
        <v>19448.95</v>
      </c>
      <c r="U62">
        <v>0</v>
      </c>
      <c r="V62">
        <v>0</v>
      </c>
      <c r="W62">
        <v>0</v>
      </c>
      <c r="X62">
        <v>0</v>
      </c>
      <c r="Y62">
        <v>20.399999999999999</v>
      </c>
      <c r="Z62">
        <v>0</v>
      </c>
      <c r="AA62">
        <v>0</v>
      </c>
      <c r="AB62">
        <v>1996000</v>
      </c>
      <c r="AC62" t="s">
        <v>251</v>
      </c>
    </row>
    <row r="63" spans="1:29" outlineLevel="1" x14ac:dyDescent="0.2">
      <c r="B63" s="386" t="s">
        <v>2737</v>
      </c>
      <c r="N63">
        <f>SUBTOTAL(9,N62:N62)</f>
        <v>19469.349999999999</v>
      </c>
    </row>
    <row r="64" spans="1:29" outlineLevel="2" x14ac:dyDescent="0.2">
      <c r="A64">
        <v>506</v>
      </c>
      <c r="B64">
        <v>2104122</v>
      </c>
      <c r="C64">
        <v>21041223</v>
      </c>
      <c r="D64" t="s">
        <v>2131</v>
      </c>
      <c r="E64" t="s">
        <v>2350</v>
      </c>
      <c r="F64">
        <v>996000</v>
      </c>
      <c r="G64" t="s">
        <v>2384</v>
      </c>
      <c r="H64">
        <v>90534</v>
      </c>
      <c r="I64">
        <v>3</v>
      </c>
      <c r="J64">
        <v>5</v>
      </c>
      <c r="K64">
        <v>7</v>
      </c>
      <c r="L64">
        <v>0</v>
      </c>
      <c r="M64">
        <v>216</v>
      </c>
      <c r="N64">
        <v>16574.95</v>
      </c>
      <c r="O64">
        <v>0</v>
      </c>
      <c r="P64">
        <v>0</v>
      </c>
      <c r="Q64">
        <v>15418.6</v>
      </c>
      <c r="R64">
        <v>0</v>
      </c>
      <c r="S64">
        <v>365.05</v>
      </c>
      <c r="T64">
        <v>15053.55</v>
      </c>
      <c r="U64">
        <v>0</v>
      </c>
      <c r="V64">
        <v>0</v>
      </c>
      <c r="W64">
        <v>0</v>
      </c>
      <c r="X64">
        <v>0</v>
      </c>
      <c r="Y64">
        <v>1156.3499999999999</v>
      </c>
      <c r="Z64">
        <v>0</v>
      </c>
      <c r="AA64">
        <v>0</v>
      </c>
      <c r="AB64">
        <v>1996000</v>
      </c>
      <c r="AC64" t="s">
        <v>251</v>
      </c>
    </row>
    <row r="65" spans="1:29" outlineLevel="1" x14ac:dyDescent="0.2">
      <c r="B65" s="386" t="s">
        <v>2736</v>
      </c>
      <c r="N65">
        <f>SUBTOTAL(9,N64:N64)</f>
        <v>16574.95</v>
      </c>
    </row>
    <row r="66" spans="1:29" outlineLevel="2" x14ac:dyDescent="0.2">
      <c r="A66">
        <v>506</v>
      </c>
      <c r="B66">
        <v>2114913</v>
      </c>
      <c r="C66">
        <v>21149133</v>
      </c>
      <c r="D66" t="s">
        <v>2216</v>
      </c>
      <c r="E66" t="s">
        <v>1118</v>
      </c>
      <c r="F66">
        <v>996000</v>
      </c>
      <c r="G66" t="s">
        <v>2384</v>
      </c>
      <c r="H66">
        <v>90534</v>
      </c>
      <c r="I66">
        <v>3</v>
      </c>
      <c r="J66">
        <v>5</v>
      </c>
      <c r="K66">
        <v>38</v>
      </c>
      <c r="L66">
        <v>0</v>
      </c>
      <c r="M66">
        <v>235.8</v>
      </c>
      <c r="N66">
        <v>15165.4</v>
      </c>
      <c r="O66">
        <v>0</v>
      </c>
      <c r="P66">
        <v>0</v>
      </c>
      <c r="Q66">
        <v>14107.35</v>
      </c>
      <c r="R66">
        <v>0</v>
      </c>
      <c r="S66">
        <v>551.20000000000005</v>
      </c>
      <c r="T66">
        <v>13556.15</v>
      </c>
      <c r="U66">
        <v>0</v>
      </c>
      <c r="V66">
        <v>0</v>
      </c>
      <c r="W66">
        <v>0</v>
      </c>
      <c r="X66">
        <v>0</v>
      </c>
      <c r="Y66">
        <v>1058.05</v>
      </c>
      <c r="Z66">
        <v>0</v>
      </c>
      <c r="AA66">
        <v>0</v>
      </c>
      <c r="AB66">
        <v>1996000</v>
      </c>
      <c r="AC66" t="s">
        <v>251</v>
      </c>
    </row>
    <row r="67" spans="1:29" outlineLevel="1" x14ac:dyDescent="0.2">
      <c r="B67" s="386" t="s">
        <v>2735</v>
      </c>
      <c r="N67">
        <f>SUBTOTAL(9,N66:N66)</f>
        <v>15165.4</v>
      </c>
    </row>
    <row r="68" spans="1:29" outlineLevel="2" x14ac:dyDescent="0.2">
      <c r="A68">
        <v>506</v>
      </c>
      <c r="B68">
        <v>2310370</v>
      </c>
      <c r="C68">
        <v>23103708</v>
      </c>
      <c r="D68" t="s">
        <v>2290</v>
      </c>
      <c r="E68" t="s">
        <v>2126</v>
      </c>
      <c r="F68">
        <v>812203</v>
      </c>
      <c r="G68" t="s">
        <v>2384</v>
      </c>
      <c r="H68">
        <v>90534</v>
      </c>
      <c r="I68">
        <v>0</v>
      </c>
      <c r="J68">
        <v>5</v>
      </c>
      <c r="K68">
        <v>6</v>
      </c>
      <c r="L68">
        <v>0</v>
      </c>
      <c r="M68">
        <v>664</v>
      </c>
      <c r="N68">
        <v>62310.93</v>
      </c>
      <c r="O68">
        <v>9527.4</v>
      </c>
      <c r="P68">
        <v>1670.49</v>
      </c>
      <c r="Q68">
        <v>47547.040000000001</v>
      </c>
      <c r="R68">
        <v>0</v>
      </c>
      <c r="S68">
        <v>4772.5</v>
      </c>
      <c r="T68">
        <v>0</v>
      </c>
      <c r="U68">
        <v>0</v>
      </c>
      <c r="V68">
        <v>1221.55</v>
      </c>
      <c r="W68">
        <v>0</v>
      </c>
      <c r="X68">
        <v>41552.99</v>
      </c>
      <c r="Y68">
        <v>3566</v>
      </c>
      <c r="Z68">
        <v>0</v>
      </c>
      <c r="AA68">
        <v>0</v>
      </c>
      <c r="AB68">
        <v>1812203</v>
      </c>
      <c r="AC68" t="s">
        <v>251</v>
      </c>
    </row>
    <row r="69" spans="1:29" outlineLevel="2" x14ac:dyDescent="0.2">
      <c r="A69">
        <v>506</v>
      </c>
      <c r="B69">
        <v>2310370</v>
      </c>
      <c r="C69">
        <v>23103708</v>
      </c>
      <c r="D69" t="s">
        <v>2290</v>
      </c>
      <c r="E69" t="s">
        <v>2126</v>
      </c>
      <c r="F69">
        <v>812600</v>
      </c>
      <c r="G69" t="s">
        <v>2384</v>
      </c>
      <c r="H69">
        <v>90534</v>
      </c>
      <c r="I69">
        <v>0</v>
      </c>
      <c r="J69">
        <v>5</v>
      </c>
      <c r="K69">
        <v>6</v>
      </c>
      <c r="L69">
        <v>0</v>
      </c>
      <c r="M69">
        <v>83</v>
      </c>
      <c r="N69">
        <v>6923.77</v>
      </c>
      <c r="O69">
        <v>1079.4000000000001</v>
      </c>
      <c r="P69">
        <v>181.73</v>
      </c>
      <c r="Q69">
        <v>5267.59</v>
      </c>
      <c r="R69">
        <v>0</v>
      </c>
      <c r="S69">
        <v>0</v>
      </c>
      <c r="T69">
        <v>0</v>
      </c>
      <c r="U69">
        <v>0</v>
      </c>
      <c r="V69">
        <v>112.75</v>
      </c>
      <c r="W69">
        <v>0</v>
      </c>
      <c r="X69">
        <v>5154.84</v>
      </c>
      <c r="Y69">
        <v>395.05</v>
      </c>
      <c r="Z69">
        <v>0</v>
      </c>
      <c r="AA69">
        <v>0</v>
      </c>
      <c r="AB69">
        <v>1812600</v>
      </c>
      <c r="AC69" t="s">
        <v>251</v>
      </c>
    </row>
    <row r="70" spans="1:29" outlineLevel="1" x14ac:dyDescent="0.2">
      <c r="B70" s="386" t="s">
        <v>2734</v>
      </c>
      <c r="N70">
        <f>SUBTOTAL(9,N68:N69)</f>
        <v>69234.7</v>
      </c>
    </row>
    <row r="71" spans="1:29" outlineLevel="2" x14ac:dyDescent="0.2">
      <c r="A71">
        <v>506</v>
      </c>
      <c r="B71">
        <v>2310870</v>
      </c>
      <c r="C71">
        <v>23108707</v>
      </c>
      <c r="D71" t="s">
        <v>2208</v>
      </c>
      <c r="E71" t="s">
        <v>2218</v>
      </c>
      <c r="F71">
        <v>813202</v>
      </c>
      <c r="G71" t="s">
        <v>2384</v>
      </c>
      <c r="H71">
        <v>90534</v>
      </c>
      <c r="I71">
        <v>1</v>
      </c>
      <c r="J71">
        <v>0</v>
      </c>
      <c r="K71">
        <v>0</v>
      </c>
      <c r="L71">
        <v>0</v>
      </c>
      <c r="M71">
        <v>0</v>
      </c>
      <c r="N71">
        <v>665.69</v>
      </c>
      <c r="O71">
        <v>0</v>
      </c>
      <c r="P71">
        <v>20.69</v>
      </c>
      <c r="Q71">
        <v>600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600</v>
      </c>
      <c r="Y71">
        <v>45</v>
      </c>
      <c r="Z71">
        <v>0</v>
      </c>
      <c r="AA71">
        <v>0</v>
      </c>
      <c r="AB71">
        <v>1813202</v>
      </c>
      <c r="AC71" t="s">
        <v>251</v>
      </c>
    </row>
    <row r="72" spans="1:29" outlineLevel="2" x14ac:dyDescent="0.2">
      <c r="A72">
        <v>506</v>
      </c>
      <c r="B72">
        <v>2310870</v>
      </c>
      <c r="C72">
        <v>23108707</v>
      </c>
      <c r="D72" t="s">
        <v>2208</v>
      </c>
      <c r="E72" t="s">
        <v>2218</v>
      </c>
      <c r="F72">
        <v>814000</v>
      </c>
      <c r="G72" t="s">
        <v>2384</v>
      </c>
      <c r="H72">
        <v>90534</v>
      </c>
      <c r="I72">
        <v>0</v>
      </c>
      <c r="J72">
        <v>5</v>
      </c>
      <c r="K72">
        <v>4</v>
      </c>
      <c r="L72">
        <v>0</v>
      </c>
      <c r="M72">
        <v>350</v>
      </c>
      <c r="N72">
        <v>43687.05</v>
      </c>
      <c r="O72">
        <v>5397.55</v>
      </c>
      <c r="P72">
        <v>917.77</v>
      </c>
      <c r="Q72">
        <v>31444.78</v>
      </c>
      <c r="R72">
        <v>0</v>
      </c>
      <c r="S72">
        <v>3195.6</v>
      </c>
      <c r="T72">
        <v>0</v>
      </c>
      <c r="U72">
        <v>0</v>
      </c>
      <c r="V72">
        <v>1180.5999999999999</v>
      </c>
      <c r="W72">
        <v>0</v>
      </c>
      <c r="X72">
        <v>27068.58</v>
      </c>
      <c r="Y72">
        <v>2607.35</v>
      </c>
      <c r="Z72">
        <v>0</v>
      </c>
      <c r="AA72">
        <v>0</v>
      </c>
      <c r="AB72">
        <v>1814000</v>
      </c>
      <c r="AC72" t="s">
        <v>251</v>
      </c>
    </row>
    <row r="73" spans="1:29" outlineLevel="1" x14ac:dyDescent="0.2">
      <c r="B73" s="386" t="s">
        <v>2733</v>
      </c>
      <c r="N73">
        <f>SUBTOTAL(9,N71:N72)</f>
        <v>44352.740000000005</v>
      </c>
    </row>
    <row r="74" spans="1:29" outlineLevel="2" x14ac:dyDescent="0.2">
      <c r="A74">
        <v>506</v>
      </c>
      <c r="B74">
        <v>2318530</v>
      </c>
      <c r="C74">
        <v>23185309</v>
      </c>
      <c r="D74" t="s">
        <v>932</v>
      </c>
      <c r="E74" t="s">
        <v>2166</v>
      </c>
      <c r="F74">
        <v>813201</v>
      </c>
      <c r="G74" t="s">
        <v>2384</v>
      </c>
      <c r="H74">
        <v>90534</v>
      </c>
      <c r="I74">
        <v>0</v>
      </c>
      <c r="J74">
        <v>5</v>
      </c>
      <c r="K74">
        <v>8</v>
      </c>
      <c r="L74">
        <v>0</v>
      </c>
      <c r="M74">
        <v>747</v>
      </c>
      <c r="N74">
        <v>84933.21</v>
      </c>
      <c r="O74">
        <v>13648.75</v>
      </c>
      <c r="P74">
        <v>2573.13</v>
      </c>
      <c r="Q74">
        <v>63917.48</v>
      </c>
      <c r="R74">
        <v>1647.9</v>
      </c>
      <c r="S74">
        <v>5268.85</v>
      </c>
      <c r="T74">
        <v>0</v>
      </c>
      <c r="U74">
        <v>0</v>
      </c>
      <c r="V74">
        <v>1941.3</v>
      </c>
      <c r="W74">
        <v>0</v>
      </c>
      <c r="X74">
        <v>55059.43</v>
      </c>
      <c r="Y74">
        <v>4793.8500000000004</v>
      </c>
      <c r="Z74">
        <v>0</v>
      </c>
      <c r="AA74">
        <v>0</v>
      </c>
      <c r="AB74">
        <v>1813201</v>
      </c>
      <c r="AC74" t="s">
        <v>251</v>
      </c>
    </row>
    <row r="75" spans="1:29" outlineLevel="1" x14ac:dyDescent="0.2">
      <c r="B75" s="386" t="s">
        <v>2732</v>
      </c>
      <c r="N75">
        <f>SUBTOTAL(9,N74:N74)</f>
        <v>84933.21</v>
      </c>
    </row>
    <row r="76" spans="1:29" outlineLevel="2" x14ac:dyDescent="0.2">
      <c r="A76">
        <v>506</v>
      </c>
      <c r="B76">
        <v>2318947</v>
      </c>
      <c r="C76">
        <v>23189475</v>
      </c>
      <c r="D76" t="s">
        <v>2180</v>
      </c>
      <c r="E76" t="s">
        <v>2197</v>
      </c>
      <c r="F76">
        <v>813310</v>
      </c>
      <c r="G76" t="s">
        <v>2384</v>
      </c>
      <c r="H76">
        <v>90534</v>
      </c>
      <c r="I76">
        <v>0</v>
      </c>
      <c r="J76">
        <v>5</v>
      </c>
      <c r="K76">
        <v>37</v>
      </c>
      <c r="L76">
        <v>0</v>
      </c>
      <c r="M76">
        <v>630</v>
      </c>
      <c r="N76">
        <v>57397.56</v>
      </c>
      <c r="O76">
        <v>4682.3500000000004</v>
      </c>
      <c r="P76">
        <v>1648.35</v>
      </c>
      <c r="Q76">
        <v>47504.01</v>
      </c>
      <c r="R76">
        <v>0</v>
      </c>
      <c r="S76">
        <v>4618.6000000000004</v>
      </c>
      <c r="T76">
        <v>0</v>
      </c>
      <c r="U76">
        <v>0</v>
      </c>
      <c r="V76">
        <v>1361.3</v>
      </c>
      <c r="W76">
        <v>0</v>
      </c>
      <c r="X76">
        <v>41524.11</v>
      </c>
      <c r="Y76">
        <v>3562.85</v>
      </c>
      <c r="Z76">
        <v>0</v>
      </c>
      <c r="AA76">
        <v>0</v>
      </c>
      <c r="AB76">
        <v>1813310</v>
      </c>
      <c r="AC76" t="s">
        <v>251</v>
      </c>
    </row>
    <row r="77" spans="1:29" outlineLevel="2" x14ac:dyDescent="0.2">
      <c r="A77">
        <v>506</v>
      </c>
      <c r="B77">
        <v>2318947</v>
      </c>
      <c r="C77">
        <v>23189475</v>
      </c>
      <c r="D77" t="s">
        <v>2180</v>
      </c>
      <c r="E77" t="s">
        <v>2197</v>
      </c>
      <c r="F77">
        <v>814000</v>
      </c>
      <c r="G77" t="s">
        <v>2384</v>
      </c>
      <c r="H77">
        <v>90534</v>
      </c>
      <c r="I77">
        <v>1</v>
      </c>
      <c r="J77">
        <v>0</v>
      </c>
      <c r="K77">
        <v>0</v>
      </c>
      <c r="L77">
        <v>0</v>
      </c>
      <c r="M77">
        <v>0</v>
      </c>
      <c r="N77">
        <v>776.65</v>
      </c>
      <c r="O77">
        <v>0</v>
      </c>
      <c r="P77">
        <v>24.15</v>
      </c>
      <c r="Q77">
        <v>700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700</v>
      </c>
      <c r="Y77">
        <v>52.5</v>
      </c>
      <c r="Z77">
        <v>0</v>
      </c>
      <c r="AA77">
        <v>0</v>
      </c>
      <c r="AB77">
        <v>1814000</v>
      </c>
      <c r="AC77" t="s">
        <v>251</v>
      </c>
    </row>
    <row r="78" spans="1:29" outlineLevel="1" x14ac:dyDescent="0.2">
      <c r="B78" s="386" t="s">
        <v>2731</v>
      </c>
      <c r="N78">
        <f>SUBTOTAL(9,N76:N77)</f>
        <v>58174.21</v>
      </c>
    </row>
    <row r="79" spans="1:29" outlineLevel="2" x14ac:dyDescent="0.2">
      <c r="A79">
        <v>506</v>
      </c>
      <c r="B79">
        <v>2319412</v>
      </c>
      <c r="C79">
        <v>23194129</v>
      </c>
      <c r="D79" t="s">
        <v>2112</v>
      </c>
      <c r="E79" t="s">
        <v>2197</v>
      </c>
      <c r="F79">
        <v>814000</v>
      </c>
      <c r="G79" t="s">
        <v>2384</v>
      </c>
      <c r="H79">
        <v>90534</v>
      </c>
      <c r="I79">
        <v>0</v>
      </c>
      <c r="J79">
        <v>5</v>
      </c>
      <c r="K79">
        <v>4</v>
      </c>
      <c r="L79">
        <v>0</v>
      </c>
      <c r="M79">
        <v>450</v>
      </c>
      <c r="N79">
        <v>44209.760000000002</v>
      </c>
      <c r="O79">
        <v>6683.3</v>
      </c>
      <c r="P79">
        <v>1166.8800000000001</v>
      </c>
      <c r="Q79">
        <v>33822.879999999997</v>
      </c>
      <c r="R79">
        <v>0</v>
      </c>
      <c r="S79">
        <v>2289.6</v>
      </c>
      <c r="T79">
        <v>0</v>
      </c>
      <c r="U79">
        <v>0</v>
      </c>
      <c r="V79">
        <v>1834.25</v>
      </c>
      <c r="W79">
        <v>0</v>
      </c>
      <c r="X79">
        <v>29699.03</v>
      </c>
      <c r="Y79">
        <v>2536.6999999999998</v>
      </c>
      <c r="Z79">
        <v>0</v>
      </c>
      <c r="AA79">
        <v>0</v>
      </c>
      <c r="AB79">
        <v>1814000</v>
      </c>
      <c r="AC79" t="s">
        <v>251</v>
      </c>
    </row>
    <row r="80" spans="1:29" outlineLevel="1" x14ac:dyDescent="0.2">
      <c r="B80" s="386" t="s">
        <v>2730</v>
      </c>
      <c r="N80">
        <f>SUBTOTAL(9,N79:N79)</f>
        <v>44209.760000000002</v>
      </c>
    </row>
    <row r="81" spans="1:29" outlineLevel="2" x14ac:dyDescent="0.2">
      <c r="A81">
        <v>506</v>
      </c>
      <c r="B81">
        <v>2322909</v>
      </c>
      <c r="C81">
        <v>23229099</v>
      </c>
      <c r="D81" t="s">
        <v>2233</v>
      </c>
      <c r="E81" t="s">
        <v>2233</v>
      </c>
      <c r="F81">
        <v>817300</v>
      </c>
      <c r="G81" t="s">
        <v>2384</v>
      </c>
      <c r="H81">
        <v>90534</v>
      </c>
      <c r="I81">
        <v>0</v>
      </c>
      <c r="J81">
        <v>81</v>
      </c>
      <c r="K81">
        <v>39</v>
      </c>
      <c r="L81">
        <v>0</v>
      </c>
      <c r="M81">
        <v>450</v>
      </c>
      <c r="N81">
        <v>44521.84</v>
      </c>
      <c r="O81">
        <v>6417.8</v>
      </c>
      <c r="P81">
        <v>1379.4</v>
      </c>
      <c r="Q81">
        <v>33725.99</v>
      </c>
      <c r="R81">
        <v>0</v>
      </c>
      <c r="S81">
        <v>599.1</v>
      </c>
      <c r="T81">
        <v>0</v>
      </c>
      <c r="U81">
        <v>0</v>
      </c>
      <c r="V81">
        <v>1479.45</v>
      </c>
      <c r="W81">
        <v>0</v>
      </c>
      <c r="X81">
        <v>31647.439999999999</v>
      </c>
      <c r="Y81">
        <v>2998.65</v>
      </c>
      <c r="Z81">
        <v>0</v>
      </c>
      <c r="AA81">
        <v>0</v>
      </c>
      <c r="AB81">
        <v>1817300</v>
      </c>
      <c r="AC81" t="s">
        <v>251</v>
      </c>
    </row>
    <row r="82" spans="1:29" outlineLevel="1" x14ac:dyDescent="0.2">
      <c r="B82" s="386" t="s">
        <v>2729</v>
      </c>
      <c r="N82">
        <f>SUBTOTAL(9,N81:N81)</f>
        <v>44521.84</v>
      </c>
    </row>
    <row r="83" spans="1:29" outlineLevel="2" x14ac:dyDescent="0.2">
      <c r="A83">
        <v>506</v>
      </c>
      <c r="B83">
        <v>2328691</v>
      </c>
      <c r="C83">
        <v>23286917</v>
      </c>
      <c r="D83" t="s">
        <v>2106</v>
      </c>
      <c r="E83" t="s">
        <v>1424</v>
      </c>
      <c r="F83">
        <v>812200</v>
      </c>
      <c r="G83" t="s">
        <v>2384</v>
      </c>
      <c r="H83">
        <v>90534</v>
      </c>
      <c r="I83">
        <v>0</v>
      </c>
      <c r="J83">
        <v>5</v>
      </c>
      <c r="K83">
        <v>37</v>
      </c>
      <c r="L83">
        <v>0</v>
      </c>
      <c r="M83">
        <v>664</v>
      </c>
      <c r="N83">
        <v>68806.84</v>
      </c>
      <c r="O83">
        <v>5506.6</v>
      </c>
      <c r="P83">
        <v>2370.4499999999998</v>
      </c>
      <c r="Q83">
        <v>56678.94</v>
      </c>
      <c r="R83">
        <v>0</v>
      </c>
      <c r="S83">
        <v>5828.25</v>
      </c>
      <c r="T83">
        <v>0</v>
      </c>
      <c r="U83">
        <v>0</v>
      </c>
      <c r="V83">
        <v>1465.25</v>
      </c>
      <c r="W83">
        <v>0</v>
      </c>
      <c r="X83">
        <v>49385.440000000002</v>
      </c>
      <c r="Y83">
        <v>4250.8500000000004</v>
      </c>
      <c r="Z83">
        <v>0</v>
      </c>
      <c r="AA83">
        <v>0</v>
      </c>
      <c r="AB83">
        <v>1812200</v>
      </c>
      <c r="AC83" t="s">
        <v>251</v>
      </c>
    </row>
    <row r="84" spans="1:29" outlineLevel="2" x14ac:dyDescent="0.2">
      <c r="A84">
        <v>506</v>
      </c>
      <c r="B84">
        <v>2328691</v>
      </c>
      <c r="C84">
        <v>23286917</v>
      </c>
      <c r="D84" t="s">
        <v>2106</v>
      </c>
      <c r="E84" t="s">
        <v>1424</v>
      </c>
      <c r="F84">
        <v>996000</v>
      </c>
      <c r="G84" t="s">
        <v>2384</v>
      </c>
      <c r="H84">
        <v>90534</v>
      </c>
      <c r="I84">
        <v>1</v>
      </c>
      <c r="J84">
        <v>0</v>
      </c>
      <c r="K84">
        <v>0</v>
      </c>
      <c r="L84">
        <v>0</v>
      </c>
      <c r="M84">
        <v>0</v>
      </c>
      <c r="N84">
        <v>11887.01</v>
      </c>
      <c r="O84">
        <v>0</v>
      </c>
      <c r="P84">
        <v>252.01</v>
      </c>
      <c r="Q84">
        <v>3518.65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3518.65</v>
      </c>
      <c r="Y84">
        <v>811.75</v>
      </c>
      <c r="Z84">
        <v>0</v>
      </c>
      <c r="AA84">
        <v>0</v>
      </c>
      <c r="AB84">
        <v>1996000</v>
      </c>
      <c r="AC84" t="s">
        <v>251</v>
      </c>
    </row>
    <row r="85" spans="1:29" outlineLevel="1" x14ac:dyDescent="0.2">
      <c r="B85" s="386" t="s">
        <v>2728</v>
      </c>
      <c r="N85">
        <f>SUBTOTAL(9,N83:N84)</f>
        <v>80693.849999999991</v>
      </c>
    </row>
    <row r="86" spans="1:29" outlineLevel="2" x14ac:dyDescent="0.2">
      <c r="A86">
        <v>506</v>
      </c>
      <c r="B86">
        <v>2328715</v>
      </c>
      <c r="C86">
        <v>23287154</v>
      </c>
      <c r="D86" t="s">
        <v>1419</v>
      </c>
      <c r="E86" t="s">
        <v>2219</v>
      </c>
      <c r="F86">
        <v>814000</v>
      </c>
      <c r="G86" t="s">
        <v>2384</v>
      </c>
      <c r="H86">
        <v>90534</v>
      </c>
      <c r="I86">
        <v>0</v>
      </c>
      <c r="J86">
        <v>5</v>
      </c>
      <c r="K86">
        <v>37</v>
      </c>
      <c r="L86">
        <v>0</v>
      </c>
      <c r="M86">
        <v>450</v>
      </c>
      <c r="N86">
        <v>60833.91</v>
      </c>
      <c r="O86">
        <v>4600.3999999999996</v>
      </c>
      <c r="P86">
        <v>1815.02</v>
      </c>
      <c r="Q86">
        <v>50621.84</v>
      </c>
      <c r="R86">
        <v>0</v>
      </c>
      <c r="S86">
        <v>4062.2</v>
      </c>
      <c r="T86">
        <v>0</v>
      </c>
      <c r="U86">
        <v>0</v>
      </c>
      <c r="V86">
        <v>1695.25</v>
      </c>
      <c r="W86">
        <v>0</v>
      </c>
      <c r="X86">
        <v>44864.39</v>
      </c>
      <c r="Y86">
        <v>3796.65</v>
      </c>
      <c r="Z86">
        <v>0</v>
      </c>
      <c r="AA86">
        <v>0</v>
      </c>
      <c r="AB86">
        <v>1814000</v>
      </c>
      <c r="AC86" t="s">
        <v>251</v>
      </c>
    </row>
    <row r="87" spans="1:29" outlineLevel="1" x14ac:dyDescent="0.2">
      <c r="B87" s="386" t="s">
        <v>2727</v>
      </c>
      <c r="N87">
        <f>SUBTOTAL(9,N86:N86)</f>
        <v>60833.91</v>
      </c>
    </row>
    <row r="88" spans="1:29" outlineLevel="2" x14ac:dyDescent="0.2">
      <c r="A88">
        <v>506</v>
      </c>
      <c r="B88">
        <v>2332248</v>
      </c>
      <c r="C88">
        <v>23322480</v>
      </c>
      <c r="D88" t="s">
        <v>1374</v>
      </c>
      <c r="E88" t="s">
        <v>2265</v>
      </c>
      <c r="F88">
        <v>623000</v>
      </c>
      <c r="G88" t="s">
        <v>2384</v>
      </c>
      <c r="H88">
        <v>90534</v>
      </c>
      <c r="I88">
        <v>0</v>
      </c>
      <c r="J88">
        <v>5</v>
      </c>
      <c r="K88">
        <v>8</v>
      </c>
      <c r="L88">
        <v>0</v>
      </c>
      <c r="M88">
        <v>900</v>
      </c>
      <c r="N88">
        <v>99109.440000000002</v>
      </c>
      <c r="O88">
        <v>7559.75</v>
      </c>
      <c r="P88">
        <v>3967.39</v>
      </c>
      <c r="Q88">
        <v>81471.850000000006</v>
      </c>
      <c r="R88">
        <v>1647.9</v>
      </c>
      <c r="S88">
        <v>7196</v>
      </c>
      <c r="T88">
        <v>0</v>
      </c>
      <c r="U88">
        <v>0</v>
      </c>
      <c r="V88">
        <v>2354.4</v>
      </c>
      <c r="W88">
        <v>3462.1</v>
      </c>
      <c r="X88">
        <v>66811.45</v>
      </c>
      <c r="Y88">
        <v>6110.45</v>
      </c>
      <c r="Z88">
        <v>0</v>
      </c>
      <c r="AA88">
        <v>0</v>
      </c>
      <c r="AB88">
        <v>1623000</v>
      </c>
      <c r="AC88" t="s">
        <v>251</v>
      </c>
    </row>
    <row r="89" spans="1:29" outlineLevel="1" x14ac:dyDescent="0.2">
      <c r="B89" s="386" t="s">
        <v>2726</v>
      </c>
      <c r="N89">
        <f>SUBTOTAL(9,N88:N88)</f>
        <v>99109.440000000002</v>
      </c>
    </row>
    <row r="90" spans="1:29" outlineLevel="2" x14ac:dyDescent="0.2">
      <c r="A90">
        <v>506</v>
      </c>
      <c r="B90">
        <v>2332857</v>
      </c>
      <c r="C90">
        <v>23328578</v>
      </c>
      <c r="D90" t="s">
        <v>2138</v>
      </c>
      <c r="E90" t="s">
        <v>2251</v>
      </c>
      <c r="F90">
        <v>611200</v>
      </c>
      <c r="G90" t="s">
        <v>2384</v>
      </c>
      <c r="H90">
        <v>90534</v>
      </c>
      <c r="I90">
        <v>0</v>
      </c>
      <c r="J90">
        <v>5</v>
      </c>
      <c r="K90">
        <v>10</v>
      </c>
      <c r="L90">
        <v>0</v>
      </c>
      <c r="M90">
        <v>900</v>
      </c>
      <c r="N90">
        <v>112348.06</v>
      </c>
      <c r="O90">
        <v>8015.25</v>
      </c>
      <c r="P90">
        <v>4877.75</v>
      </c>
      <c r="Q90">
        <v>92461.759999999995</v>
      </c>
      <c r="R90">
        <v>0</v>
      </c>
      <c r="S90">
        <v>7196</v>
      </c>
      <c r="T90">
        <v>0</v>
      </c>
      <c r="U90">
        <v>10528.15</v>
      </c>
      <c r="V90">
        <v>2354.4</v>
      </c>
      <c r="W90">
        <v>8387.6</v>
      </c>
      <c r="X90">
        <v>63995.61</v>
      </c>
      <c r="Y90">
        <v>6993.3</v>
      </c>
      <c r="Z90">
        <v>0</v>
      </c>
      <c r="AA90">
        <v>0</v>
      </c>
      <c r="AB90">
        <v>1611200</v>
      </c>
      <c r="AC90" t="s">
        <v>251</v>
      </c>
    </row>
    <row r="91" spans="1:29" outlineLevel="1" x14ac:dyDescent="0.2">
      <c r="B91" s="386" t="s">
        <v>2725</v>
      </c>
      <c r="N91">
        <f>SUBTOTAL(9,N90:N90)</f>
        <v>112348.06</v>
      </c>
    </row>
    <row r="92" spans="1:29" outlineLevel="2" x14ac:dyDescent="0.2">
      <c r="A92">
        <v>506</v>
      </c>
      <c r="B92">
        <v>2346198</v>
      </c>
      <c r="C92">
        <v>23461981</v>
      </c>
      <c r="D92" t="s">
        <v>2117</v>
      </c>
      <c r="E92" t="s">
        <v>2351</v>
      </c>
      <c r="F92">
        <v>996000</v>
      </c>
      <c r="G92" t="s">
        <v>2384</v>
      </c>
      <c r="H92">
        <v>90534</v>
      </c>
      <c r="I92">
        <v>3</v>
      </c>
      <c r="J92">
        <v>77</v>
      </c>
      <c r="K92">
        <v>70</v>
      </c>
      <c r="L92">
        <v>0</v>
      </c>
      <c r="M92">
        <v>433.8</v>
      </c>
      <c r="N92">
        <v>34316.199999999997</v>
      </c>
      <c r="O92">
        <v>0</v>
      </c>
      <c r="P92">
        <v>0</v>
      </c>
      <c r="Q92">
        <v>31922.15</v>
      </c>
      <c r="R92">
        <v>0</v>
      </c>
      <c r="S92">
        <v>1021.85</v>
      </c>
      <c r="T92">
        <v>30900.3</v>
      </c>
      <c r="U92">
        <v>0</v>
      </c>
      <c r="V92">
        <v>0</v>
      </c>
      <c r="W92">
        <v>0</v>
      </c>
      <c r="X92">
        <v>0</v>
      </c>
      <c r="Y92">
        <v>2394.0500000000002</v>
      </c>
      <c r="Z92">
        <v>0</v>
      </c>
      <c r="AA92">
        <v>0</v>
      </c>
      <c r="AB92">
        <v>1996000</v>
      </c>
      <c r="AC92" t="s">
        <v>251</v>
      </c>
    </row>
    <row r="93" spans="1:29" outlineLevel="1" x14ac:dyDescent="0.2">
      <c r="B93" s="386" t="s">
        <v>2724</v>
      </c>
      <c r="N93">
        <f>SUBTOTAL(9,N92:N92)</f>
        <v>34316.199999999997</v>
      </c>
    </row>
    <row r="94" spans="1:29" outlineLevel="2" x14ac:dyDescent="0.2">
      <c r="A94">
        <v>506</v>
      </c>
      <c r="B94">
        <v>2346323</v>
      </c>
      <c r="C94">
        <v>23463235</v>
      </c>
      <c r="D94" t="s">
        <v>2185</v>
      </c>
      <c r="E94" t="s">
        <v>2167</v>
      </c>
      <c r="F94">
        <v>817910</v>
      </c>
      <c r="G94" t="s">
        <v>2384</v>
      </c>
      <c r="H94">
        <v>90534</v>
      </c>
      <c r="I94">
        <v>0</v>
      </c>
      <c r="J94">
        <v>5</v>
      </c>
      <c r="K94">
        <v>7</v>
      </c>
      <c r="L94">
        <v>0</v>
      </c>
      <c r="M94">
        <v>675</v>
      </c>
      <c r="N94">
        <v>69820.87</v>
      </c>
      <c r="O94">
        <v>5595.35</v>
      </c>
      <c r="P94">
        <v>2173.96</v>
      </c>
      <c r="Q94">
        <v>57730.91</v>
      </c>
      <c r="R94">
        <v>122.4</v>
      </c>
      <c r="S94">
        <v>5278.4</v>
      </c>
      <c r="T94">
        <v>0</v>
      </c>
      <c r="U94">
        <v>0</v>
      </c>
      <c r="V94">
        <v>1714.45</v>
      </c>
      <c r="W94">
        <v>0</v>
      </c>
      <c r="X94">
        <v>50615.66</v>
      </c>
      <c r="Y94">
        <v>4320.6499999999996</v>
      </c>
      <c r="Z94">
        <v>0</v>
      </c>
      <c r="AA94">
        <v>0</v>
      </c>
      <c r="AB94">
        <v>1817910</v>
      </c>
      <c r="AC94" t="s">
        <v>251</v>
      </c>
    </row>
    <row r="95" spans="1:29" outlineLevel="1" x14ac:dyDescent="0.2">
      <c r="B95" s="386" t="s">
        <v>2723</v>
      </c>
      <c r="N95">
        <f>SUBTOTAL(9,N94:N94)</f>
        <v>69820.87</v>
      </c>
    </row>
    <row r="96" spans="1:29" outlineLevel="2" x14ac:dyDescent="0.2">
      <c r="A96">
        <v>506</v>
      </c>
      <c r="B96">
        <v>2346722</v>
      </c>
      <c r="C96">
        <v>23467228</v>
      </c>
      <c r="D96" t="s">
        <v>1419</v>
      </c>
      <c r="E96" t="s">
        <v>2142</v>
      </c>
      <c r="F96">
        <v>812200</v>
      </c>
      <c r="G96" t="s">
        <v>2384</v>
      </c>
      <c r="H96">
        <v>90534</v>
      </c>
      <c r="I96">
        <v>0</v>
      </c>
      <c r="J96">
        <v>5</v>
      </c>
      <c r="K96">
        <v>6</v>
      </c>
      <c r="L96">
        <v>0</v>
      </c>
      <c r="M96">
        <v>664</v>
      </c>
      <c r="N96">
        <v>61697.919999999998</v>
      </c>
      <c r="O96">
        <v>10440.65</v>
      </c>
      <c r="P96">
        <v>1625.07</v>
      </c>
      <c r="Q96">
        <v>46146.55</v>
      </c>
      <c r="R96">
        <v>0</v>
      </c>
      <c r="S96">
        <v>4420.6000000000004</v>
      </c>
      <c r="T96">
        <v>0</v>
      </c>
      <c r="U96">
        <v>0</v>
      </c>
      <c r="V96">
        <v>1066.5999999999999</v>
      </c>
      <c r="W96">
        <v>0</v>
      </c>
      <c r="X96">
        <v>40659.35</v>
      </c>
      <c r="Y96">
        <v>3485.65</v>
      </c>
      <c r="Z96">
        <v>0</v>
      </c>
      <c r="AA96">
        <v>0</v>
      </c>
      <c r="AB96">
        <v>1812200</v>
      </c>
      <c r="AC96" t="s">
        <v>251</v>
      </c>
    </row>
    <row r="97" spans="1:29" outlineLevel="2" x14ac:dyDescent="0.2">
      <c r="A97">
        <v>506</v>
      </c>
      <c r="B97">
        <v>2346722</v>
      </c>
      <c r="C97">
        <v>23467228</v>
      </c>
      <c r="D97" t="s">
        <v>1419</v>
      </c>
      <c r="E97" t="s">
        <v>2142</v>
      </c>
      <c r="F97">
        <v>812300</v>
      </c>
      <c r="G97" t="s">
        <v>2384</v>
      </c>
      <c r="H97">
        <v>90534</v>
      </c>
      <c r="I97">
        <v>0</v>
      </c>
      <c r="J97">
        <v>5</v>
      </c>
      <c r="K97">
        <v>6</v>
      </c>
      <c r="L97">
        <v>0</v>
      </c>
      <c r="M97">
        <v>83</v>
      </c>
      <c r="N97">
        <v>6866.78</v>
      </c>
      <c r="O97">
        <v>1182.2</v>
      </c>
      <c r="P97">
        <v>178.13</v>
      </c>
      <c r="Q97">
        <v>5119.2</v>
      </c>
      <c r="R97">
        <v>0</v>
      </c>
      <c r="S97">
        <v>0</v>
      </c>
      <c r="T97">
        <v>0</v>
      </c>
      <c r="U97">
        <v>0</v>
      </c>
      <c r="V97">
        <v>112.75</v>
      </c>
      <c r="W97">
        <v>0</v>
      </c>
      <c r="X97">
        <v>5006.45</v>
      </c>
      <c r="Y97">
        <v>387.25</v>
      </c>
      <c r="Z97">
        <v>0</v>
      </c>
      <c r="AA97">
        <v>0</v>
      </c>
      <c r="AB97">
        <v>1812300</v>
      </c>
      <c r="AC97" t="s">
        <v>251</v>
      </c>
    </row>
    <row r="98" spans="1:29" outlineLevel="1" x14ac:dyDescent="0.2">
      <c r="B98" s="386" t="s">
        <v>2722</v>
      </c>
      <c r="N98">
        <f>SUBTOTAL(9,N96:N97)</f>
        <v>68564.7</v>
      </c>
    </row>
    <row r="99" spans="1:29" outlineLevel="2" x14ac:dyDescent="0.2">
      <c r="A99">
        <v>506</v>
      </c>
      <c r="B99">
        <v>2474642</v>
      </c>
      <c r="C99">
        <v>24746422</v>
      </c>
      <c r="D99" t="s">
        <v>2198</v>
      </c>
      <c r="E99" t="s">
        <v>2300</v>
      </c>
      <c r="F99">
        <v>828100</v>
      </c>
      <c r="G99" t="s">
        <v>2384</v>
      </c>
      <c r="H99">
        <v>90534</v>
      </c>
      <c r="I99">
        <v>0</v>
      </c>
      <c r="J99">
        <v>5</v>
      </c>
      <c r="K99">
        <v>5</v>
      </c>
      <c r="L99">
        <v>0</v>
      </c>
      <c r="M99">
        <v>900</v>
      </c>
      <c r="N99">
        <v>73121.570000000007</v>
      </c>
      <c r="O99">
        <v>11388.6</v>
      </c>
      <c r="P99">
        <v>2021.19</v>
      </c>
      <c r="Q99">
        <v>55499.03</v>
      </c>
      <c r="R99">
        <v>0</v>
      </c>
      <c r="S99">
        <v>5326</v>
      </c>
      <c r="T99">
        <v>0</v>
      </c>
      <c r="U99">
        <v>0</v>
      </c>
      <c r="V99">
        <v>352.45</v>
      </c>
      <c r="W99">
        <v>0</v>
      </c>
      <c r="X99">
        <v>49820.58</v>
      </c>
      <c r="Y99">
        <v>4212.75</v>
      </c>
      <c r="Z99">
        <v>0</v>
      </c>
      <c r="AA99">
        <v>0</v>
      </c>
      <c r="AB99">
        <v>1828100</v>
      </c>
      <c r="AC99" t="s">
        <v>251</v>
      </c>
    </row>
    <row r="100" spans="1:29" outlineLevel="1" x14ac:dyDescent="0.2">
      <c r="B100" s="386" t="s">
        <v>2721</v>
      </c>
      <c r="N100">
        <f>SUBTOTAL(9,N99:N99)</f>
        <v>73121.570000000007</v>
      </c>
    </row>
    <row r="101" spans="1:29" outlineLevel="2" x14ac:dyDescent="0.2">
      <c r="A101">
        <v>506</v>
      </c>
      <c r="B101">
        <v>2478126</v>
      </c>
      <c r="C101">
        <v>24781262</v>
      </c>
      <c r="D101" t="s">
        <v>2173</v>
      </c>
      <c r="E101" t="s">
        <v>2116</v>
      </c>
      <c r="F101">
        <v>817800</v>
      </c>
      <c r="G101" t="s">
        <v>2384</v>
      </c>
      <c r="H101">
        <v>90534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3148.25</v>
      </c>
      <c r="O101">
        <v>337.5</v>
      </c>
      <c r="P101">
        <v>97.9</v>
      </c>
      <c r="Q101">
        <v>2500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2500</v>
      </c>
      <c r="Y101">
        <v>212.85</v>
      </c>
      <c r="Z101">
        <v>0</v>
      </c>
      <c r="AA101">
        <v>0</v>
      </c>
      <c r="AB101">
        <v>1817800</v>
      </c>
      <c r="AC101" t="s">
        <v>251</v>
      </c>
    </row>
    <row r="102" spans="1:29" outlineLevel="1" x14ac:dyDescent="0.2">
      <c r="B102" s="386" t="s">
        <v>2720</v>
      </c>
      <c r="N102">
        <f>SUBTOTAL(9,N101:N101)</f>
        <v>3148.25</v>
      </c>
    </row>
    <row r="103" spans="1:29" outlineLevel="2" x14ac:dyDescent="0.2">
      <c r="A103">
        <v>506</v>
      </c>
      <c r="B103">
        <v>2478159</v>
      </c>
      <c r="C103">
        <v>24781593</v>
      </c>
      <c r="D103" t="s">
        <v>932</v>
      </c>
      <c r="E103" t="s">
        <v>2252</v>
      </c>
      <c r="F103">
        <v>612000</v>
      </c>
      <c r="G103" t="s">
        <v>2384</v>
      </c>
      <c r="H103">
        <v>90534</v>
      </c>
      <c r="I103">
        <v>0</v>
      </c>
      <c r="J103">
        <v>39</v>
      </c>
      <c r="K103">
        <v>3</v>
      </c>
      <c r="L103">
        <v>0</v>
      </c>
      <c r="M103">
        <v>450</v>
      </c>
      <c r="N103">
        <v>166031.94</v>
      </c>
      <c r="O103">
        <v>23787.35</v>
      </c>
      <c r="P103">
        <v>7287.34</v>
      </c>
      <c r="Q103">
        <v>125492.05</v>
      </c>
      <c r="R103">
        <v>3852</v>
      </c>
      <c r="S103">
        <v>2962</v>
      </c>
      <c r="T103">
        <v>0</v>
      </c>
      <c r="U103">
        <v>5970.25</v>
      </c>
      <c r="V103">
        <v>1409.4</v>
      </c>
      <c r="W103">
        <v>0</v>
      </c>
      <c r="X103">
        <v>111298.4</v>
      </c>
      <c r="Y103">
        <v>9465.2000000000007</v>
      </c>
      <c r="Z103">
        <v>0</v>
      </c>
      <c r="AA103">
        <v>0</v>
      </c>
      <c r="AB103">
        <v>1612000</v>
      </c>
      <c r="AC103" t="s">
        <v>251</v>
      </c>
    </row>
    <row r="104" spans="1:29" outlineLevel="1" x14ac:dyDescent="0.2">
      <c r="B104" s="386" t="s">
        <v>2719</v>
      </c>
      <c r="N104">
        <f>SUBTOTAL(9,N103:N103)</f>
        <v>166031.94</v>
      </c>
    </row>
    <row r="105" spans="1:29" outlineLevel="2" x14ac:dyDescent="0.2">
      <c r="A105">
        <v>506</v>
      </c>
      <c r="B105">
        <v>2587620</v>
      </c>
      <c r="C105">
        <v>25876202</v>
      </c>
      <c r="D105" t="s">
        <v>2230</v>
      </c>
      <c r="E105" t="s">
        <v>1608</v>
      </c>
      <c r="F105">
        <v>817200</v>
      </c>
      <c r="G105" t="s">
        <v>2384</v>
      </c>
      <c r="H105">
        <v>90534</v>
      </c>
      <c r="I105">
        <v>0</v>
      </c>
      <c r="J105">
        <v>5</v>
      </c>
      <c r="K105">
        <v>7</v>
      </c>
      <c r="L105">
        <v>0</v>
      </c>
      <c r="M105">
        <v>450</v>
      </c>
      <c r="N105">
        <v>37526.449999999997</v>
      </c>
      <c r="O105">
        <v>2940.65</v>
      </c>
      <c r="P105">
        <v>1166.8900000000001</v>
      </c>
      <c r="Q105">
        <v>30882.16</v>
      </c>
      <c r="R105">
        <v>0</v>
      </c>
      <c r="S105">
        <v>2875</v>
      </c>
      <c r="T105">
        <v>0</v>
      </c>
      <c r="U105">
        <v>0</v>
      </c>
      <c r="V105">
        <v>1951.75</v>
      </c>
      <c r="W105">
        <v>0</v>
      </c>
      <c r="X105">
        <v>26055.41</v>
      </c>
      <c r="Y105">
        <v>2536.75</v>
      </c>
      <c r="Z105">
        <v>0</v>
      </c>
      <c r="AA105">
        <v>0</v>
      </c>
      <c r="AB105">
        <v>1817200</v>
      </c>
      <c r="AC105" t="s">
        <v>251</v>
      </c>
    </row>
    <row r="106" spans="1:29" outlineLevel="1" x14ac:dyDescent="0.2">
      <c r="B106" s="386" t="s">
        <v>2718</v>
      </c>
      <c r="N106">
        <f>SUBTOTAL(9,N105:N105)</f>
        <v>37526.449999999997</v>
      </c>
    </row>
    <row r="107" spans="1:29" outlineLevel="2" x14ac:dyDescent="0.2">
      <c r="A107">
        <v>506</v>
      </c>
      <c r="B107">
        <v>2587900</v>
      </c>
      <c r="C107">
        <v>25879008</v>
      </c>
      <c r="D107" t="s">
        <v>1329</v>
      </c>
      <c r="E107" t="s">
        <v>1776</v>
      </c>
      <c r="F107">
        <v>813300</v>
      </c>
      <c r="G107" t="s">
        <v>2384</v>
      </c>
      <c r="H107">
        <v>90534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3998.17</v>
      </c>
      <c r="O107">
        <v>620.9</v>
      </c>
      <c r="P107">
        <v>105.02</v>
      </c>
      <c r="Q107">
        <v>3043.95</v>
      </c>
      <c r="R107">
        <v>0</v>
      </c>
      <c r="S107">
        <v>0</v>
      </c>
      <c r="T107">
        <v>0</v>
      </c>
      <c r="U107">
        <v>0</v>
      </c>
      <c r="V107">
        <v>87.15</v>
      </c>
      <c r="W107">
        <v>0</v>
      </c>
      <c r="X107">
        <v>2956.8</v>
      </c>
      <c r="Y107">
        <v>228.3</v>
      </c>
      <c r="Z107">
        <v>0</v>
      </c>
      <c r="AA107">
        <v>0</v>
      </c>
      <c r="AB107">
        <v>1813300</v>
      </c>
      <c r="AC107" t="s">
        <v>251</v>
      </c>
    </row>
    <row r="108" spans="1:29" outlineLevel="2" x14ac:dyDescent="0.2">
      <c r="A108">
        <v>506</v>
      </c>
      <c r="B108">
        <v>2587900</v>
      </c>
      <c r="C108">
        <v>25879008</v>
      </c>
      <c r="D108" t="s">
        <v>1329</v>
      </c>
      <c r="E108" t="s">
        <v>1776</v>
      </c>
      <c r="F108">
        <v>813310</v>
      </c>
      <c r="G108" t="s">
        <v>2384</v>
      </c>
      <c r="H108">
        <v>90534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49608.33</v>
      </c>
      <c r="O108">
        <v>7602.4</v>
      </c>
      <c r="P108">
        <v>1306.18</v>
      </c>
      <c r="Q108">
        <v>37860.25</v>
      </c>
      <c r="R108">
        <v>0</v>
      </c>
      <c r="S108">
        <v>3728.2</v>
      </c>
      <c r="T108">
        <v>0</v>
      </c>
      <c r="U108">
        <v>0</v>
      </c>
      <c r="V108">
        <v>1278.05</v>
      </c>
      <c r="W108">
        <v>0</v>
      </c>
      <c r="X108">
        <v>32854</v>
      </c>
      <c r="Y108">
        <v>2839.5</v>
      </c>
      <c r="Z108">
        <v>0</v>
      </c>
      <c r="AA108">
        <v>0</v>
      </c>
      <c r="AB108">
        <v>1813310</v>
      </c>
      <c r="AC108" t="s">
        <v>251</v>
      </c>
    </row>
    <row r="109" spans="1:29" outlineLevel="1" x14ac:dyDescent="0.2">
      <c r="B109" s="386" t="s">
        <v>2717</v>
      </c>
      <c r="N109">
        <f>SUBTOTAL(9,N107:N108)</f>
        <v>53606.5</v>
      </c>
    </row>
    <row r="110" spans="1:29" outlineLevel="2" x14ac:dyDescent="0.2">
      <c r="A110">
        <v>506</v>
      </c>
      <c r="B110">
        <v>2593019</v>
      </c>
      <c r="C110">
        <v>25930199</v>
      </c>
      <c r="D110" t="s">
        <v>2245</v>
      </c>
      <c r="E110" t="s">
        <v>2246</v>
      </c>
      <c r="F110">
        <v>817800</v>
      </c>
      <c r="G110" t="s">
        <v>2384</v>
      </c>
      <c r="H110">
        <v>90534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20562.02</v>
      </c>
      <c r="O110">
        <v>2136.1</v>
      </c>
      <c r="P110">
        <v>572.97</v>
      </c>
      <c r="Q110">
        <v>16607.349999999999</v>
      </c>
      <c r="R110">
        <v>0</v>
      </c>
      <c r="S110">
        <v>2193.1999999999998</v>
      </c>
      <c r="T110">
        <v>0</v>
      </c>
      <c r="U110">
        <v>0</v>
      </c>
      <c r="V110">
        <v>474.45</v>
      </c>
      <c r="W110">
        <v>0</v>
      </c>
      <c r="X110">
        <v>13939.7</v>
      </c>
      <c r="Y110">
        <v>1245.5999999999999</v>
      </c>
      <c r="Z110">
        <v>0</v>
      </c>
      <c r="AA110">
        <v>0</v>
      </c>
      <c r="AB110">
        <v>1817800</v>
      </c>
      <c r="AC110" t="s">
        <v>251</v>
      </c>
    </row>
    <row r="111" spans="1:29" outlineLevel="1" x14ac:dyDescent="0.2">
      <c r="B111" s="386" t="s">
        <v>2716</v>
      </c>
      <c r="N111">
        <f>SUBTOTAL(9,N110:N110)</f>
        <v>20562.02</v>
      </c>
    </row>
    <row r="112" spans="1:29" outlineLevel="2" x14ac:dyDescent="0.2">
      <c r="A112">
        <v>506</v>
      </c>
      <c r="B112">
        <v>2597378</v>
      </c>
      <c r="C112">
        <v>25973785</v>
      </c>
      <c r="D112" t="s">
        <v>1709</v>
      </c>
      <c r="E112" t="s">
        <v>2284</v>
      </c>
      <c r="F112">
        <v>812201</v>
      </c>
      <c r="G112" t="s">
        <v>2384</v>
      </c>
      <c r="H112">
        <v>90534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40847.660000000003</v>
      </c>
      <c r="O112">
        <v>5761.8</v>
      </c>
      <c r="P112">
        <v>1094.01</v>
      </c>
      <c r="Q112">
        <v>31620.35</v>
      </c>
      <c r="R112">
        <v>0</v>
      </c>
      <c r="S112">
        <v>2449.9499999999998</v>
      </c>
      <c r="T112">
        <v>0</v>
      </c>
      <c r="U112">
        <v>0</v>
      </c>
      <c r="V112">
        <v>1316.75</v>
      </c>
      <c r="W112">
        <v>0</v>
      </c>
      <c r="X112">
        <v>27853.65</v>
      </c>
      <c r="Y112">
        <v>2371.5</v>
      </c>
      <c r="Z112">
        <v>0</v>
      </c>
      <c r="AA112">
        <v>0</v>
      </c>
      <c r="AB112">
        <v>1812201</v>
      </c>
      <c r="AC112" t="s">
        <v>251</v>
      </c>
    </row>
    <row r="113" spans="1:29" outlineLevel="2" x14ac:dyDescent="0.2">
      <c r="A113">
        <v>506</v>
      </c>
      <c r="B113">
        <v>2597378</v>
      </c>
      <c r="C113">
        <v>25973785</v>
      </c>
      <c r="D113" t="s">
        <v>1709</v>
      </c>
      <c r="E113" t="s">
        <v>2284</v>
      </c>
      <c r="F113">
        <v>812205</v>
      </c>
      <c r="G113" t="s">
        <v>2384</v>
      </c>
      <c r="H113">
        <v>90534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2579.42</v>
      </c>
      <c r="O113">
        <v>395.1</v>
      </c>
      <c r="P113">
        <v>67.92</v>
      </c>
      <c r="Q113">
        <v>1968.75</v>
      </c>
      <c r="R113">
        <v>0</v>
      </c>
      <c r="S113">
        <v>0</v>
      </c>
      <c r="T113">
        <v>0</v>
      </c>
      <c r="U113">
        <v>0</v>
      </c>
      <c r="V113">
        <v>87.15</v>
      </c>
      <c r="W113">
        <v>0</v>
      </c>
      <c r="X113">
        <v>1881.6</v>
      </c>
      <c r="Y113">
        <v>147.65</v>
      </c>
      <c r="Z113">
        <v>0</v>
      </c>
      <c r="AA113">
        <v>0</v>
      </c>
      <c r="AB113">
        <v>1812205</v>
      </c>
      <c r="AC113" t="s">
        <v>251</v>
      </c>
    </row>
    <row r="114" spans="1:29" outlineLevel="1" x14ac:dyDescent="0.2">
      <c r="B114" s="386" t="s">
        <v>2715</v>
      </c>
      <c r="N114">
        <f>SUBTOTAL(9,N112:N113)</f>
        <v>43427.08</v>
      </c>
    </row>
    <row r="115" spans="1:29" outlineLevel="2" x14ac:dyDescent="0.2">
      <c r="A115">
        <v>506</v>
      </c>
      <c r="B115">
        <v>2597635</v>
      </c>
      <c r="C115">
        <v>25976358</v>
      </c>
      <c r="D115" t="s">
        <v>2164</v>
      </c>
      <c r="E115" t="s">
        <v>2292</v>
      </c>
      <c r="F115">
        <v>812201</v>
      </c>
      <c r="G115" t="s">
        <v>2384</v>
      </c>
      <c r="H115">
        <v>90534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31740.52</v>
      </c>
      <c r="O115">
        <v>4466.6000000000004</v>
      </c>
      <c r="P115">
        <v>848.07</v>
      </c>
      <c r="Q115">
        <v>24582.15</v>
      </c>
      <c r="R115">
        <v>0</v>
      </c>
      <c r="S115">
        <v>2236.9</v>
      </c>
      <c r="T115">
        <v>0</v>
      </c>
      <c r="U115">
        <v>0</v>
      </c>
      <c r="V115">
        <v>1161.75</v>
      </c>
      <c r="W115">
        <v>0</v>
      </c>
      <c r="X115">
        <v>21183.5</v>
      </c>
      <c r="Y115">
        <v>1843.7</v>
      </c>
      <c r="Z115">
        <v>0</v>
      </c>
      <c r="AA115">
        <v>0</v>
      </c>
      <c r="AB115">
        <v>1812201</v>
      </c>
      <c r="AC115" t="s">
        <v>251</v>
      </c>
    </row>
    <row r="116" spans="1:29" outlineLevel="2" x14ac:dyDescent="0.2">
      <c r="A116">
        <v>506</v>
      </c>
      <c r="B116">
        <v>2597635</v>
      </c>
      <c r="C116">
        <v>25976358</v>
      </c>
      <c r="D116" t="s">
        <v>2164</v>
      </c>
      <c r="E116" t="s">
        <v>2292</v>
      </c>
      <c r="F116">
        <v>813301</v>
      </c>
      <c r="G116" t="s">
        <v>2384</v>
      </c>
      <c r="H116">
        <v>90534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2923.41</v>
      </c>
      <c r="O116">
        <v>451.6</v>
      </c>
      <c r="P116">
        <v>76.86</v>
      </c>
      <c r="Q116">
        <v>2227.85</v>
      </c>
      <c r="R116">
        <v>0</v>
      </c>
      <c r="S116">
        <v>0</v>
      </c>
      <c r="T116">
        <v>0</v>
      </c>
      <c r="U116">
        <v>0</v>
      </c>
      <c r="V116">
        <v>77.45</v>
      </c>
      <c r="W116">
        <v>0</v>
      </c>
      <c r="X116">
        <v>2150.4</v>
      </c>
      <c r="Y116">
        <v>167.1</v>
      </c>
      <c r="Z116">
        <v>0</v>
      </c>
      <c r="AA116">
        <v>0</v>
      </c>
      <c r="AB116">
        <v>1813301</v>
      </c>
      <c r="AC116" t="s">
        <v>251</v>
      </c>
    </row>
    <row r="117" spans="1:29" outlineLevel="1" x14ac:dyDescent="0.2">
      <c r="B117" s="386" t="s">
        <v>2714</v>
      </c>
      <c r="N117">
        <f>SUBTOTAL(9,N115:N116)</f>
        <v>34663.93</v>
      </c>
    </row>
    <row r="118" spans="1:29" outlineLevel="2" x14ac:dyDescent="0.2">
      <c r="A118">
        <v>506</v>
      </c>
      <c r="B118">
        <v>2616472</v>
      </c>
      <c r="C118">
        <v>26164723</v>
      </c>
      <c r="D118" t="s">
        <v>2108</v>
      </c>
      <c r="E118" t="s">
        <v>2109</v>
      </c>
      <c r="F118">
        <v>812200</v>
      </c>
      <c r="G118" t="s">
        <v>2384</v>
      </c>
      <c r="H118">
        <v>90534</v>
      </c>
      <c r="I118">
        <v>0</v>
      </c>
      <c r="J118">
        <v>5</v>
      </c>
      <c r="K118">
        <v>4</v>
      </c>
      <c r="L118">
        <v>0</v>
      </c>
      <c r="M118">
        <v>747</v>
      </c>
      <c r="N118">
        <v>62489.74</v>
      </c>
      <c r="O118">
        <v>9655.1200000000008</v>
      </c>
      <c r="P118">
        <v>1644.58</v>
      </c>
      <c r="Q118">
        <v>47618.6</v>
      </c>
      <c r="R118">
        <v>0</v>
      </c>
      <c r="S118">
        <v>3674.95</v>
      </c>
      <c r="T118">
        <v>0</v>
      </c>
      <c r="U118">
        <v>0</v>
      </c>
      <c r="V118">
        <v>1301.5</v>
      </c>
      <c r="W118">
        <v>0</v>
      </c>
      <c r="X118">
        <v>42642.15</v>
      </c>
      <c r="Y118">
        <v>3571.44</v>
      </c>
      <c r="Z118">
        <v>0</v>
      </c>
      <c r="AA118">
        <v>0</v>
      </c>
      <c r="AB118">
        <v>1812200</v>
      </c>
      <c r="AC118" t="s">
        <v>251</v>
      </c>
    </row>
    <row r="119" spans="1:29" outlineLevel="2" x14ac:dyDescent="0.2">
      <c r="A119">
        <v>506</v>
      </c>
      <c r="B119">
        <v>2616472</v>
      </c>
      <c r="C119">
        <v>26164723</v>
      </c>
      <c r="D119" t="s">
        <v>2108</v>
      </c>
      <c r="E119" t="s">
        <v>2109</v>
      </c>
      <c r="F119">
        <v>812301</v>
      </c>
      <c r="G119" t="s">
        <v>2384</v>
      </c>
      <c r="H119">
        <v>90534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-182.78</v>
      </c>
      <c r="O119">
        <v>-40.82</v>
      </c>
      <c r="P119">
        <v>-4.42</v>
      </c>
      <c r="Q119">
        <v>-127.95</v>
      </c>
      <c r="R119">
        <v>0</v>
      </c>
      <c r="S119">
        <v>0</v>
      </c>
      <c r="T119">
        <v>0</v>
      </c>
      <c r="U119">
        <v>0</v>
      </c>
      <c r="V119">
        <v>87.15</v>
      </c>
      <c r="W119">
        <v>0</v>
      </c>
      <c r="X119">
        <v>-215.1</v>
      </c>
      <c r="Y119">
        <v>-9.59</v>
      </c>
      <c r="Z119">
        <v>0</v>
      </c>
      <c r="AA119">
        <v>0</v>
      </c>
      <c r="AB119">
        <v>1812301</v>
      </c>
      <c r="AC119" t="s">
        <v>251</v>
      </c>
    </row>
    <row r="120" spans="1:29" outlineLevel="1" x14ac:dyDescent="0.2">
      <c r="B120" s="386" t="s">
        <v>2713</v>
      </c>
      <c r="N120">
        <f>SUBTOTAL(9,N118:N119)</f>
        <v>62306.96</v>
      </c>
    </row>
    <row r="121" spans="1:29" outlineLevel="2" x14ac:dyDescent="0.2">
      <c r="A121">
        <v>506</v>
      </c>
      <c r="B121">
        <v>2617588</v>
      </c>
      <c r="C121">
        <v>26175885</v>
      </c>
      <c r="D121" t="s">
        <v>2138</v>
      </c>
      <c r="E121" t="s">
        <v>2167</v>
      </c>
      <c r="F121">
        <v>813201</v>
      </c>
      <c r="G121" t="s">
        <v>2384</v>
      </c>
      <c r="H121">
        <v>90534</v>
      </c>
      <c r="I121">
        <v>0</v>
      </c>
      <c r="J121">
        <v>5</v>
      </c>
      <c r="K121">
        <v>5</v>
      </c>
      <c r="L121">
        <v>0</v>
      </c>
      <c r="M121">
        <v>450</v>
      </c>
      <c r="N121">
        <v>46613.71</v>
      </c>
      <c r="O121">
        <v>7118.85</v>
      </c>
      <c r="P121">
        <v>1228.1199999999999</v>
      </c>
      <c r="Q121">
        <v>35596.94</v>
      </c>
      <c r="R121">
        <v>0</v>
      </c>
      <c r="S121">
        <v>3195.6</v>
      </c>
      <c r="T121">
        <v>0</v>
      </c>
      <c r="U121">
        <v>0</v>
      </c>
      <c r="V121">
        <v>1440.85</v>
      </c>
      <c r="W121">
        <v>0</v>
      </c>
      <c r="X121">
        <v>30960.49</v>
      </c>
      <c r="Y121">
        <v>2669.8</v>
      </c>
      <c r="Z121">
        <v>0</v>
      </c>
      <c r="AA121">
        <v>0</v>
      </c>
      <c r="AB121">
        <v>1813201</v>
      </c>
      <c r="AC121" t="s">
        <v>251</v>
      </c>
    </row>
    <row r="122" spans="1:29" outlineLevel="1" x14ac:dyDescent="0.2">
      <c r="B122" s="386" t="s">
        <v>2712</v>
      </c>
      <c r="N122">
        <f>SUBTOTAL(9,N121:N121)</f>
        <v>46613.71</v>
      </c>
    </row>
    <row r="123" spans="1:29" outlineLevel="2" x14ac:dyDescent="0.2">
      <c r="A123">
        <v>506</v>
      </c>
      <c r="B123">
        <v>2617868</v>
      </c>
      <c r="C123">
        <v>26178681</v>
      </c>
      <c r="D123" t="s">
        <v>2117</v>
      </c>
      <c r="E123" t="s">
        <v>2394</v>
      </c>
      <c r="F123">
        <v>812513</v>
      </c>
      <c r="G123" t="s">
        <v>2384</v>
      </c>
      <c r="H123">
        <v>90534</v>
      </c>
      <c r="I123">
        <v>0</v>
      </c>
      <c r="J123">
        <v>3</v>
      </c>
      <c r="K123">
        <v>2</v>
      </c>
      <c r="L123">
        <v>0</v>
      </c>
      <c r="M123">
        <v>800</v>
      </c>
      <c r="N123">
        <v>72262.600000000006</v>
      </c>
      <c r="O123">
        <v>11529.8</v>
      </c>
      <c r="P123">
        <v>2259.36</v>
      </c>
      <c r="Q123">
        <v>54367.33</v>
      </c>
      <c r="R123">
        <v>0</v>
      </c>
      <c r="S123">
        <v>801.35</v>
      </c>
      <c r="T123">
        <v>10577.2</v>
      </c>
      <c r="U123">
        <v>4771.6000000000004</v>
      </c>
      <c r="V123">
        <v>1898.4</v>
      </c>
      <c r="W123">
        <v>0</v>
      </c>
      <c r="X123">
        <v>36318.78</v>
      </c>
      <c r="Y123">
        <v>4106.1099999999997</v>
      </c>
      <c r="Z123">
        <v>0</v>
      </c>
      <c r="AA123">
        <v>0</v>
      </c>
      <c r="AB123">
        <v>1812513</v>
      </c>
      <c r="AC123" t="s">
        <v>251</v>
      </c>
    </row>
    <row r="124" spans="1:29" outlineLevel="2" x14ac:dyDescent="0.2">
      <c r="A124">
        <v>506</v>
      </c>
      <c r="B124">
        <v>2617868</v>
      </c>
      <c r="C124">
        <v>26178681</v>
      </c>
      <c r="D124" t="s">
        <v>2117</v>
      </c>
      <c r="E124" t="s">
        <v>2394</v>
      </c>
      <c r="F124">
        <v>828100</v>
      </c>
      <c r="G124" t="s">
        <v>2384</v>
      </c>
      <c r="H124">
        <v>90534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1116.23</v>
      </c>
      <c r="O124">
        <v>0</v>
      </c>
      <c r="P124">
        <v>41.24</v>
      </c>
      <c r="Q124">
        <v>1000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1000</v>
      </c>
      <c r="Y124">
        <v>74.989999999999995</v>
      </c>
      <c r="Z124">
        <v>0</v>
      </c>
      <c r="AA124">
        <v>0</v>
      </c>
      <c r="AB124">
        <v>1828100</v>
      </c>
      <c r="AC124" t="s">
        <v>251</v>
      </c>
    </row>
    <row r="125" spans="1:29" outlineLevel="1" x14ac:dyDescent="0.2">
      <c r="B125" s="386" t="s">
        <v>2711</v>
      </c>
      <c r="N125">
        <f>SUBTOTAL(9,N123:N124)</f>
        <v>73378.83</v>
      </c>
    </row>
    <row r="126" spans="1:29" outlineLevel="2" x14ac:dyDescent="0.2">
      <c r="A126">
        <v>506</v>
      </c>
      <c r="B126">
        <v>2618465</v>
      </c>
      <c r="C126">
        <v>26184655</v>
      </c>
      <c r="D126" t="s">
        <v>2304</v>
      </c>
      <c r="E126" t="s">
        <v>2166</v>
      </c>
      <c r="F126">
        <v>841000</v>
      </c>
      <c r="G126" t="s">
        <v>2384</v>
      </c>
      <c r="H126">
        <v>90534</v>
      </c>
      <c r="I126">
        <v>0</v>
      </c>
      <c r="J126">
        <v>86</v>
      </c>
      <c r="K126">
        <v>2</v>
      </c>
      <c r="L126">
        <v>2</v>
      </c>
      <c r="M126">
        <v>900</v>
      </c>
      <c r="N126">
        <v>100540.12</v>
      </c>
      <c r="O126">
        <v>15850.5</v>
      </c>
      <c r="P126">
        <v>3568.36</v>
      </c>
      <c r="Q126">
        <v>75437.36</v>
      </c>
      <c r="R126">
        <v>1293</v>
      </c>
      <c r="S126">
        <v>4902</v>
      </c>
      <c r="T126">
        <v>4356.55</v>
      </c>
      <c r="U126">
        <v>6930</v>
      </c>
      <c r="V126">
        <v>1574</v>
      </c>
      <c r="W126">
        <v>0</v>
      </c>
      <c r="X126">
        <v>56381.81</v>
      </c>
      <c r="Y126">
        <v>5683.9</v>
      </c>
      <c r="Z126">
        <v>0</v>
      </c>
      <c r="AA126">
        <v>0</v>
      </c>
      <c r="AB126">
        <v>1841000</v>
      </c>
      <c r="AC126" t="s">
        <v>251</v>
      </c>
    </row>
    <row r="127" spans="1:29" outlineLevel="1" x14ac:dyDescent="0.2">
      <c r="B127" s="386" t="s">
        <v>2710</v>
      </c>
      <c r="N127">
        <f>SUBTOTAL(9,N126:N126)</f>
        <v>100540.12</v>
      </c>
    </row>
    <row r="128" spans="1:29" outlineLevel="2" x14ac:dyDescent="0.2">
      <c r="A128">
        <v>506</v>
      </c>
      <c r="B128">
        <v>2618870</v>
      </c>
      <c r="C128">
        <v>26188706</v>
      </c>
      <c r="D128" t="s">
        <v>1600</v>
      </c>
      <c r="E128" t="s">
        <v>2110</v>
      </c>
      <c r="F128">
        <v>812200</v>
      </c>
      <c r="G128" t="s">
        <v>2384</v>
      </c>
      <c r="H128">
        <v>90534</v>
      </c>
      <c r="I128">
        <v>0</v>
      </c>
      <c r="J128">
        <v>5</v>
      </c>
      <c r="K128">
        <v>6</v>
      </c>
      <c r="L128">
        <v>0</v>
      </c>
      <c r="M128">
        <v>747</v>
      </c>
      <c r="N128">
        <v>66285.47</v>
      </c>
      <c r="O128">
        <v>10197.15</v>
      </c>
      <c r="P128">
        <v>1761.14</v>
      </c>
      <c r="Q128">
        <v>50536.88</v>
      </c>
      <c r="R128">
        <v>0</v>
      </c>
      <c r="S128">
        <v>4420.6000000000004</v>
      </c>
      <c r="T128">
        <v>0</v>
      </c>
      <c r="U128">
        <v>0</v>
      </c>
      <c r="V128">
        <v>1508.35</v>
      </c>
      <c r="W128">
        <v>0</v>
      </c>
      <c r="X128">
        <v>44607.93</v>
      </c>
      <c r="Y128">
        <v>3790.3</v>
      </c>
      <c r="Z128">
        <v>0</v>
      </c>
      <c r="AA128">
        <v>0</v>
      </c>
      <c r="AB128">
        <v>1812200</v>
      </c>
      <c r="AC128" t="s">
        <v>251</v>
      </c>
    </row>
    <row r="129" spans="1:29" outlineLevel="1" x14ac:dyDescent="0.2">
      <c r="B129" s="386" t="s">
        <v>2709</v>
      </c>
      <c r="N129">
        <f>SUBTOTAL(9,N128:N128)</f>
        <v>66285.47</v>
      </c>
    </row>
    <row r="130" spans="1:29" outlineLevel="2" x14ac:dyDescent="0.2">
      <c r="A130">
        <v>506</v>
      </c>
      <c r="B130">
        <v>2622839</v>
      </c>
      <c r="C130">
        <v>26228395</v>
      </c>
      <c r="D130" t="s">
        <v>1419</v>
      </c>
      <c r="E130" t="s">
        <v>1569</v>
      </c>
      <c r="F130">
        <v>813310</v>
      </c>
      <c r="G130" t="s">
        <v>2384</v>
      </c>
      <c r="H130">
        <v>90534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22046.87</v>
      </c>
      <c r="O130">
        <v>3252.3</v>
      </c>
      <c r="P130">
        <v>584.41999999999996</v>
      </c>
      <c r="Q130">
        <v>16939.7</v>
      </c>
      <c r="R130">
        <v>0</v>
      </c>
      <c r="S130">
        <v>2503.1999999999998</v>
      </c>
      <c r="T130">
        <v>0</v>
      </c>
      <c r="U130">
        <v>0</v>
      </c>
      <c r="V130">
        <v>822.95</v>
      </c>
      <c r="W130">
        <v>0</v>
      </c>
      <c r="X130">
        <v>13613.55</v>
      </c>
      <c r="Y130">
        <v>1270.45</v>
      </c>
      <c r="Z130">
        <v>0</v>
      </c>
      <c r="AA130">
        <v>0</v>
      </c>
      <c r="AB130">
        <v>1813310</v>
      </c>
      <c r="AC130" t="s">
        <v>251</v>
      </c>
    </row>
    <row r="131" spans="1:29" outlineLevel="2" x14ac:dyDescent="0.2">
      <c r="A131">
        <v>506</v>
      </c>
      <c r="B131">
        <v>2622839</v>
      </c>
      <c r="C131">
        <v>26228395</v>
      </c>
      <c r="D131" t="s">
        <v>1419</v>
      </c>
      <c r="E131" t="s">
        <v>1569</v>
      </c>
      <c r="F131">
        <v>813340</v>
      </c>
      <c r="G131" t="s">
        <v>2384</v>
      </c>
      <c r="H131">
        <v>90534</v>
      </c>
      <c r="I131">
        <v>1</v>
      </c>
      <c r="J131">
        <v>0</v>
      </c>
      <c r="K131">
        <v>0</v>
      </c>
      <c r="L131">
        <v>0</v>
      </c>
      <c r="M131">
        <v>0</v>
      </c>
      <c r="N131">
        <v>3299.55</v>
      </c>
      <c r="O131">
        <v>508.05</v>
      </c>
      <c r="P131">
        <v>86.8</v>
      </c>
      <c r="Q131">
        <v>2516</v>
      </c>
      <c r="R131">
        <v>0</v>
      </c>
      <c r="S131">
        <v>0</v>
      </c>
      <c r="T131">
        <v>0</v>
      </c>
      <c r="U131">
        <v>0</v>
      </c>
      <c r="V131">
        <v>96.8</v>
      </c>
      <c r="W131">
        <v>0</v>
      </c>
      <c r="X131">
        <v>2419.1999999999998</v>
      </c>
      <c r="Y131">
        <v>188.7</v>
      </c>
      <c r="Z131">
        <v>0</v>
      </c>
      <c r="AA131">
        <v>0</v>
      </c>
      <c r="AB131">
        <v>1813340</v>
      </c>
      <c r="AC131" t="s">
        <v>251</v>
      </c>
    </row>
    <row r="132" spans="1:29" outlineLevel="1" x14ac:dyDescent="0.2">
      <c r="B132" s="386" t="s">
        <v>2708</v>
      </c>
      <c r="N132">
        <f>SUBTOTAL(9,N130:N131)</f>
        <v>25346.42</v>
      </c>
    </row>
    <row r="133" spans="1:29" outlineLevel="2" x14ac:dyDescent="0.2">
      <c r="A133">
        <v>506</v>
      </c>
      <c r="B133">
        <v>2625132</v>
      </c>
      <c r="C133">
        <v>26251322</v>
      </c>
      <c r="D133" t="s">
        <v>1419</v>
      </c>
      <c r="E133" t="s">
        <v>2297</v>
      </c>
      <c r="F133">
        <v>824000</v>
      </c>
      <c r="G133" t="s">
        <v>2384</v>
      </c>
      <c r="H133">
        <v>90534</v>
      </c>
      <c r="I133">
        <v>0</v>
      </c>
      <c r="J133">
        <v>5</v>
      </c>
      <c r="K133">
        <v>4</v>
      </c>
      <c r="L133">
        <v>0</v>
      </c>
      <c r="M133">
        <v>450</v>
      </c>
      <c r="N133">
        <v>53892.55</v>
      </c>
      <c r="O133">
        <v>7943.85</v>
      </c>
      <c r="P133">
        <v>1428.77</v>
      </c>
      <c r="Q133">
        <v>41413.879999999997</v>
      </c>
      <c r="R133">
        <v>0</v>
      </c>
      <c r="S133">
        <v>3195.6</v>
      </c>
      <c r="T133">
        <v>0</v>
      </c>
      <c r="U133">
        <v>0</v>
      </c>
      <c r="V133">
        <v>178.65</v>
      </c>
      <c r="W133">
        <v>0</v>
      </c>
      <c r="X133">
        <v>38039.629999999997</v>
      </c>
      <c r="Y133">
        <v>3106.05</v>
      </c>
      <c r="Z133">
        <v>0</v>
      </c>
      <c r="AA133">
        <v>0</v>
      </c>
      <c r="AB133">
        <v>1824000</v>
      </c>
      <c r="AC133" t="s">
        <v>251</v>
      </c>
    </row>
    <row r="134" spans="1:29" outlineLevel="1" x14ac:dyDescent="0.2">
      <c r="B134" s="386" t="s">
        <v>2707</v>
      </c>
      <c r="N134">
        <f>SUBTOTAL(9,N133:N133)</f>
        <v>53892.55</v>
      </c>
    </row>
    <row r="135" spans="1:29" outlineLevel="2" x14ac:dyDescent="0.2">
      <c r="A135">
        <v>506</v>
      </c>
      <c r="B135">
        <v>2635430</v>
      </c>
      <c r="C135">
        <v>26354308</v>
      </c>
      <c r="D135" t="s">
        <v>1390</v>
      </c>
      <c r="E135" t="s">
        <v>2244</v>
      </c>
      <c r="F135">
        <v>817700</v>
      </c>
      <c r="G135" t="s">
        <v>2384</v>
      </c>
      <c r="H135">
        <v>90534</v>
      </c>
      <c r="I135">
        <v>0</v>
      </c>
      <c r="J135">
        <v>3</v>
      </c>
      <c r="K135">
        <v>2</v>
      </c>
      <c r="L135">
        <v>0</v>
      </c>
      <c r="M135">
        <v>450</v>
      </c>
      <c r="N135">
        <v>54261.06</v>
      </c>
      <c r="O135">
        <v>9089.75</v>
      </c>
      <c r="P135">
        <v>1404.58</v>
      </c>
      <c r="Q135">
        <v>40713.279999999999</v>
      </c>
      <c r="R135">
        <v>0</v>
      </c>
      <c r="S135">
        <v>3195.6</v>
      </c>
      <c r="T135">
        <v>0</v>
      </c>
      <c r="U135">
        <v>0</v>
      </c>
      <c r="V135">
        <v>1467.5</v>
      </c>
      <c r="W135">
        <v>0</v>
      </c>
      <c r="X135">
        <v>36050.18</v>
      </c>
      <c r="Y135">
        <v>3053.45</v>
      </c>
      <c r="Z135">
        <v>0</v>
      </c>
      <c r="AA135">
        <v>0</v>
      </c>
      <c r="AB135">
        <v>1817700</v>
      </c>
      <c r="AC135" t="s">
        <v>251</v>
      </c>
    </row>
    <row r="136" spans="1:29" outlineLevel="1" x14ac:dyDescent="0.2">
      <c r="B136" s="386" t="s">
        <v>2706</v>
      </c>
      <c r="N136">
        <f>SUBTOTAL(9,N135:N135)</f>
        <v>54261.06</v>
      </c>
    </row>
    <row r="137" spans="1:29" outlineLevel="2" x14ac:dyDescent="0.2">
      <c r="A137">
        <v>506</v>
      </c>
      <c r="B137">
        <v>2635877</v>
      </c>
      <c r="C137">
        <v>26358770</v>
      </c>
      <c r="D137" t="s">
        <v>2220</v>
      </c>
      <c r="E137" t="s">
        <v>2221</v>
      </c>
      <c r="F137">
        <v>814000</v>
      </c>
      <c r="G137" t="s">
        <v>2384</v>
      </c>
      <c r="H137">
        <v>90534</v>
      </c>
      <c r="I137">
        <v>0</v>
      </c>
      <c r="J137">
        <v>5</v>
      </c>
      <c r="K137">
        <v>4</v>
      </c>
      <c r="L137">
        <v>0</v>
      </c>
      <c r="M137">
        <v>350</v>
      </c>
      <c r="N137">
        <v>36784.050000000003</v>
      </c>
      <c r="O137">
        <v>4645.8999999999996</v>
      </c>
      <c r="P137">
        <v>815.53</v>
      </c>
      <c r="Q137">
        <v>26393.87</v>
      </c>
      <c r="R137">
        <v>0</v>
      </c>
      <c r="S137">
        <v>2663</v>
      </c>
      <c r="T137">
        <v>0</v>
      </c>
      <c r="U137">
        <v>0</v>
      </c>
      <c r="V137">
        <v>1332.4</v>
      </c>
      <c r="W137">
        <v>0</v>
      </c>
      <c r="X137">
        <v>22398.47</v>
      </c>
      <c r="Y137">
        <v>2185.3000000000002</v>
      </c>
      <c r="Z137">
        <v>0</v>
      </c>
      <c r="AA137">
        <v>0</v>
      </c>
      <c r="AB137">
        <v>1814000</v>
      </c>
      <c r="AC137" t="s">
        <v>251</v>
      </c>
    </row>
    <row r="138" spans="1:29" outlineLevel="1" x14ac:dyDescent="0.2">
      <c r="B138" s="386" t="s">
        <v>2705</v>
      </c>
      <c r="N138">
        <f>SUBTOTAL(9,N137:N137)</f>
        <v>36784.050000000003</v>
      </c>
    </row>
    <row r="139" spans="1:29" outlineLevel="2" x14ac:dyDescent="0.2">
      <c r="A139">
        <v>506</v>
      </c>
      <c r="B139">
        <v>2643576</v>
      </c>
      <c r="C139">
        <v>26435768</v>
      </c>
      <c r="D139" t="s">
        <v>1419</v>
      </c>
      <c r="E139" t="s">
        <v>2115</v>
      </c>
      <c r="F139">
        <v>813300</v>
      </c>
      <c r="G139" t="s">
        <v>2384</v>
      </c>
      <c r="H139">
        <v>90534</v>
      </c>
      <c r="I139">
        <v>0</v>
      </c>
      <c r="J139">
        <v>5</v>
      </c>
      <c r="K139">
        <v>37</v>
      </c>
      <c r="L139">
        <v>0</v>
      </c>
      <c r="M139">
        <v>720</v>
      </c>
      <c r="N139">
        <v>64209.32</v>
      </c>
      <c r="O139">
        <v>9961.65</v>
      </c>
      <c r="P139">
        <v>1720.73</v>
      </c>
      <c r="Q139">
        <v>48862.21</v>
      </c>
      <c r="R139">
        <v>0</v>
      </c>
      <c r="S139">
        <v>4260.8</v>
      </c>
      <c r="T139">
        <v>0</v>
      </c>
      <c r="U139">
        <v>0</v>
      </c>
      <c r="V139">
        <v>1366.6</v>
      </c>
      <c r="W139">
        <v>0</v>
      </c>
      <c r="X139">
        <v>43234.81</v>
      </c>
      <c r="Y139">
        <v>3664.73</v>
      </c>
      <c r="Z139">
        <v>0</v>
      </c>
      <c r="AA139">
        <v>0</v>
      </c>
      <c r="AB139">
        <v>1813300</v>
      </c>
      <c r="AC139" t="s">
        <v>251</v>
      </c>
    </row>
    <row r="140" spans="1:29" outlineLevel="2" x14ac:dyDescent="0.2">
      <c r="A140">
        <v>506</v>
      </c>
      <c r="B140">
        <v>2643576</v>
      </c>
      <c r="C140">
        <v>26435768</v>
      </c>
      <c r="D140" t="s">
        <v>1419</v>
      </c>
      <c r="E140" t="s">
        <v>2115</v>
      </c>
      <c r="F140">
        <v>814000</v>
      </c>
      <c r="G140" t="s">
        <v>2384</v>
      </c>
      <c r="H140">
        <v>90534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874.66</v>
      </c>
      <c r="O140">
        <v>0</v>
      </c>
      <c r="P140">
        <v>27.19</v>
      </c>
      <c r="Q140">
        <v>788.35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788.35</v>
      </c>
      <c r="Y140">
        <v>59.12</v>
      </c>
      <c r="Z140">
        <v>0</v>
      </c>
      <c r="AA140">
        <v>0</v>
      </c>
      <c r="AB140">
        <v>1814000</v>
      </c>
      <c r="AC140" t="s">
        <v>251</v>
      </c>
    </row>
    <row r="141" spans="1:29" outlineLevel="1" x14ac:dyDescent="0.2">
      <c r="B141" s="386" t="s">
        <v>2704</v>
      </c>
      <c r="N141">
        <f>SUBTOTAL(9,N139:N140)</f>
        <v>65083.98</v>
      </c>
    </row>
    <row r="142" spans="1:29" outlineLevel="2" x14ac:dyDescent="0.2">
      <c r="A142">
        <v>506</v>
      </c>
      <c r="B142">
        <v>2643960</v>
      </c>
      <c r="C142">
        <v>26439604</v>
      </c>
      <c r="D142" t="s">
        <v>1451</v>
      </c>
      <c r="E142" t="s">
        <v>2285</v>
      </c>
      <c r="F142">
        <v>812200</v>
      </c>
      <c r="G142" t="s">
        <v>2384</v>
      </c>
      <c r="H142">
        <v>90534</v>
      </c>
      <c r="I142">
        <v>0</v>
      </c>
      <c r="J142">
        <v>5</v>
      </c>
      <c r="K142">
        <v>4</v>
      </c>
      <c r="L142">
        <v>0</v>
      </c>
      <c r="M142">
        <v>664</v>
      </c>
      <c r="N142">
        <v>54691.62</v>
      </c>
      <c r="O142">
        <v>8468.9500000000007</v>
      </c>
      <c r="P142">
        <v>1437.32</v>
      </c>
      <c r="Q142">
        <v>41660.75</v>
      </c>
      <c r="R142">
        <v>0</v>
      </c>
      <c r="S142">
        <v>3142.35</v>
      </c>
      <c r="T142">
        <v>0</v>
      </c>
      <c r="U142">
        <v>0</v>
      </c>
      <c r="V142">
        <v>1314.95</v>
      </c>
      <c r="W142">
        <v>0</v>
      </c>
      <c r="X142">
        <v>37203.449999999997</v>
      </c>
      <c r="Y142">
        <v>3124.6</v>
      </c>
      <c r="Z142">
        <v>0</v>
      </c>
      <c r="AA142">
        <v>0</v>
      </c>
      <c r="AB142">
        <v>1812200</v>
      </c>
      <c r="AC142" t="s">
        <v>251</v>
      </c>
    </row>
    <row r="143" spans="1:29" outlineLevel="2" x14ac:dyDescent="0.2">
      <c r="A143">
        <v>506</v>
      </c>
      <c r="B143">
        <v>2643960</v>
      </c>
      <c r="C143">
        <v>26439604</v>
      </c>
      <c r="D143" t="s">
        <v>1451</v>
      </c>
      <c r="E143" t="s">
        <v>2285</v>
      </c>
      <c r="F143">
        <v>812301</v>
      </c>
      <c r="G143" t="s">
        <v>2384</v>
      </c>
      <c r="H143">
        <v>90534</v>
      </c>
      <c r="I143">
        <v>0</v>
      </c>
      <c r="J143">
        <v>5</v>
      </c>
      <c r="K143">
        <v>4</v>
      </c>
      <c r="L143">
        <v>0</v>
      </c>
      <c r="M143">
        <v>83</v>
      </c>
      <c r="N143">
        <v>6314.43</v>
      </c>
      <c r="O143">
        <v>991.15</v>
      </c>
      <c r="P143">
        <v>165.53</v>
      </c>
      <c r="Q143">
        <v>4797.8999999999996</v>
      </c>
      <c r="R143">
        <v>0</v>
      </c>
      <c r="S143">
        <v>0</v>
      </c>
      <c r="T143">
        <v>0</v>
      </c>
      <c r="U143">
        <v>0</v>
      </c>
      <c r="V143">
        <v>102.65</v>
      </c>
      <c r="W143">
        <v>0</v>
      </c>
      <c r="X143">
        <v>4695.25</v>
      </c>
      <c r="Y143">
        <v>359.85</v>
      </c>
      <c r="Z143">
        <v>0</v>
      </c>
      <c r="AA143">
        <v>0</v>
      </c>
      <c r="AB143">
        <v>1812301</v>
      </c>
      <c r="AC143" t="s">
        <v>251</v>
      </c>
    </row>
    <row r="144" spans="1:29" outlineLevel="1" x14ac:dyDescent="0.2">
      <c r="B144" s="386" t="s">
        <v>2703</v>
      </c>
      <c r="N144">
        <f>SUBTOTAL(9,N142:N143)</f>
        <v>61006.05</v>
      </c>
    </row>
    <row r="145" spans="1:29" outlineLevel="2" x14ac:dyDescent="0.2">
      <c r="A145">
        <v>506</v>
      </c>
      <c r="B145">
        <v>2646223</v>
      </c>
      <c r="C145">
        <v>26462234</v>
      </c>
      <c r="D145" t="s">
        <v>2131</v>
      </c>
      <c r="E145" t="s">
        <v>2276</v>
      </c>
      <c r="F145">
        <v>742200</v>
      </c>
      <c r="G145" t="s">
        <v>2384</v>
      </c>
      <c r="H145">
        <v>90534</v>
      </c>
      <c r="I145">
        <v>0</v>
      </c>
      <c r="J145">
        <v>5</v>
      </c>
      <c r="K145">
        <v>7</v>
      </c>
      <c r="L145">
        <v>0</v>
      </c>
      <c r="M145">
        <v>900</v>
      </c>
      <c r="N145">
        <v>101044.34</v>
      </c>
      <c r="O145">
        <v>15122</v>
      </c>
      <c r="P145">
        <v>3678.15</v>
      </c>
      <c r="Q145">
        <v>76450.490000000005</v>
      </c>
      <c r="R145">
        <v>0</v>
      </c>
      <c r="S145">
        <v>5326</v>
      </c>
      <c r="T145">
        <v>0</v>
      </c>
      <c r="U145">
        <v>2939.75</v>
      </c>
      <c r="V145">
        <v>1957.45</v>
      </c>
      <c r="W145">
        <v>12259.15</v>
      </c>
      <c r="X145">
        <v>53968.14</v>
      </c>
      <c r="Y145">
        <v>5793.7</v>
      </c>
      <c r="Z145">
        <v>0</v>
      </c>
      <c r="AA145">
        <v>0</v>
      </c>
      <c r="AB145">
        <v>1742200</v>
      </c>
      <c r="AC145" t="s">
        <v>251</v>
      </c>
    </row>
    <row r="146" spans="1:29" outlineLevel="1" x14ac:dyDescent="0.2">
      <c r="B146" s="386" t="s">
        <v>2702</v>
      </c>
      <c r="N146">
        <f>SUBTOTAL(9,N145:N145)</f>
        <v>101044.34</v>
      </c>
    </row>
    <row r="147" spans="1:29" outlineLevel="2" x14ac:dyDescent="0.2">
      <c r="A147">
        <v>506</v>
      </c>
      <c r="B147">
        <v>2650713</v>
      </c>
      <c r="C147">
        <v>26507137</v>
      </c>
      <c r="D147" t="s">
        <v>2173</v>
      </c>
      <c r="E147" t="s">
        <v>2404</v>
      </c>
      <c r="F147">
        <v>815200</v>
      </c>
      <c r="G147" t="s">
        <v>2384</v>
      </c>
      <c r="H147">
        <v>90534</v>
      </c>
      <c r="I147">
        <v>0</v>
      </c>
      <c r="J147">
        <v>73</v>
      </c>
      <c r="K147">
        <v>3</v>
      </c>
      <c r="L147">
        <v>0</v>
      </c>
      <c r="M147">
        <v>129.6</v>
      </c>
      <c r="N147">
        <v>8905.52</v>
      </c>
      <c r="O147">
        <v>922.05</v>
      </c>
      <c r="P147">
        <v>276.91000000000003</v>
      </c>
      <c r="Q147">
        <v>7104.61</v>
      </c>
      <c r="R147">
        <v>0</v>
      </c>
      <c r="S147">
        <v>0</v>
      </c>
      <c r="T147">
        <v>244.2</v>
      </c>
      <c r="U147">
        <v>0</v>
      </c>
      <c r="V147">
        <v>275.8</v>
      </c>
      <c r="W147">
        <v>0</v>
      </c>
      <c r="X147">
        <v>6584.61</v>
      </c>
      <c r="Y147">
        <v>601.95000000000005</v>
      </c>
      <c r="Z147">
        <v>0</v>
      </c>
      <c r="AA147">
        <v>0</v>
      </c>
      <c r="AB147">
        <v>1815200</v>
      </c>
      <c r="AC147" t="s">
        <v>251</v>
      </c>
    </row>
    <row r="148" spans="1:29" outlineLevel="1" x14ac:dyDescent="0.2">
      <c r="B148" s="386" t="s">
        <v>2701</v>
      </c>
      <c r="N148">
        <f>SUBTOTAL(9,N147:N147)</f>
        <v>8905.52</v>
      </c>
    </row>
    <row r="149" spans="1:29" outlineLevel="2" x14ac:dyDescent="0.2">
      <c r="A149">
        <v>506</v>
      </c>
      <c r="B149">
        <v>2656603</v>
      </c>
      <c r="C149">
        <v>26566034</v>
      </c>
      <c r="D149" t="s">
        <v>2387</v>
      </c>
      <c r="E149" t="s">
        <v>1795</v>
      </c>
      <c r="F149">
        <v>812201</v>
      </c>
      <c r="G149" t="s">
        <v>2384</v>
      </c>
      <c r="H149">
        <v>90534</v>
      </c>
      <c r="I149">
        <v>1</v>
      </c>
      <c r="J149">
        <v>0</v>
      </c>
      <c r="K149">
        <v>0</v>
      </c>
      <c r="L149">
        <v>0</v>
      </c>
      <c r="M149">
        <v>0</v>
      </c>
      <c r="N149">
        <v>14160.16</v>
      </c>
      <c r="O149">
        <v>1068.75</v>
      </c>
      <c r="P149">
        <v>440.31</v>
      </c>
      <c r="Q149">
        <v>11693.9</v>
      </c>
      <c r="R149">
        <v>0</v>
      </c>
      <c r="S149">
        <v>0</v>
      </c>
      <c r="T149">
        <v>0</v>
      </c>
      <c r="U149">
        <v>0</v>
      </c>
      <c r="V149">
        <v>658.4</v>
      </c>
      <c r="W149">
        <v>0</v>
      </c>
      <c r="X149">
        <v>11035.5</v>
      </c>
      <c r="Y149">
        <v>957.2</v>
      </c>
      <c r="Z149">
        <v>0</v>
      </c>
      <c r="AA149">
        <v>0</v>
      </c>
      <c r="AB149">
        <v>1812201</v>
      </c>
      <c r="AC149" t="s">
        <v>251</v>
      </c>
    </row>
    <row r="150" spans="1:29" outlineLevel="1" x14ac:dyDescent="0.2">
      <c r="B150" s="386" t="s">
        <v>2700</v>
      </c>
      <c r="N150">
        <f>SUBTOTAL(9,N149:N149)</f>
        <v>14160.16</v>
      </c>
    </row>
    <row r="151" spans="1:29" outlineLevel="2" x14ac:dyDescent="0.2">
      <c r="A151">
        <v>506</v>
      </c>
      <c r="B151">
        <v>2750510</v>
      </c>
      <c r="C151">
        <v>27505106</v>
      </c>
      <c r="D151" t="s">
        <v>2173</v>
      </c>
      <c r="E151" t="s">
        <v>2174</v>
      </c>
      <c r="F151">
        <v>813202</v>
      </c>
      <c r="G151" t="s">
        <v>2384</v>
      </c>
      <c r="H151">
        <v>90534</v>
      </c>
      <c r="I151">
        <v>0</v>
      </c>
      <c r="J151">
        <v>5</v>
      </c>
      <c r="K151">
        <v>4</v>
      </c>
      <c r="L151">
        <v>0</v>
      </c>
      <c r="M151">
        <v>450</v>
      </c>
      <c r="N151">
        <v>47238.95</v>
      </c>
      <c r="O151">
        <v>7199.25</v>
      </c>
      <c r="P151">
        <v>1245.06</v>
      </c>
      <c r="Q151">
        <v>36088.089999999997</v>
      </c>
      <c r="R151">
        <v>0</v>
      </c>
      <c r="S151">
        <v>3450</v>
      </c>
      <c r="T151">
        <v>0</v>
      </c>
      <c r="U151">
        <v>0</v>
      </c>
      <c r="V151">
        <v>1582.55</v>
      </c>
      <c r="W151">
        <v>0</v>
      </c>
      <c r="X151">
        <v>31055.54</v>
      </c>
      <c r="Y151">
        <v>2706.55</v>
      </c>
      <c r="Z151">
        <v>0</v>
      </c>
      <c r="AA151">
        <v>0</v>
      </c>
      <c r="AB151">
        <v>1813202</v>
      </c>
      <c r="AC151" t="s">
        <v>251</v>
      </c>
    </row>
    <row r="152" spans="1:29" outlineLevel="1" x14ac:dyDescent="0.2">
      <c r="B152" s="386" t="s">
        <v>2699</v>
      </c>
      <c r="N152">
        <f>SUBTOTAL(9,N151:N151)</f>
        <v>47238.95</v>
      </c>
    </row>
    <row r="153" spans="1:29" outlineLevel="2" x14ac:dyDescent="0.2">
      <c r="A153">
        <v>506</v>
      </c>
      <c r="B153">
        <v>2750519</v>
      </c>
      <c r="C153">
        <v>27505197</v>
      </c>
      <c r="D153" t="s">
        <v>2121</v>
      </c>
      <c r="E153" t="s">
        <v>2126</v>
      </c>
      <c r="F153">
        <v>812201</v>
      </c>
      <c r="G153" t="s">
        <v>2384</v>
      </c>
      <c r="H153">
        <v>90534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20277.72</v>
      </c>
      <c r="O153">
        <v>1796.25</v>
      </c>
      <c r="P153">
        <v>574.66999999999996</v>
      </c>
      <c r="Q153">
        <v>16657.45</v>
      </c>
      <c r="R153">
        <v>0</v>
      </c>
      <c r="S153">
        <v>2755</v>
      </c>
      <c r="T153">
        <v>0</v>
      </c>
      <c r="U153">
        <v>0</v>
      </c>
      <c r="V153">
        <v>1239.25</v>
      </c>
      <c r="W153">
        <v>0</v>
      </c>
      <c r="X153">
        <v>12663.2</v>
      </c>
      <c r="Y153">
        <v>1249.3499999999999</v>
      </c>
      <c r="Z153">
        <v>0</v>
      </c>
      <c r="AA153">
        <v>0</v>
      </c>
      <c r="AB153">
        <v>1812201</v>
      </c>
      <c r="AC153" t="s">
        <v>251</v>
      </c>
    </row>
    <row r="154" spans="1:29" outlineLevel="1" x14ac:dyDescent="0.2">
      <c r="B154" s="386" t="s">
        <v>2698</v>
      </c>
      <c r="N154">
        <f>SUBTOTAL(9,N153:N153)</f>
        <v>20277.72</v>
      </c>
    </row>
    <row r="155" spans="1:29" outlineLevel="2" x14ac:dyDescent="0.2">
      <c r="A155">
        <v>506</v>
      </c>
      <c r="B155">
        <v>2750570</v>
      </c>
      <c r="C155">
        <v>27505700</v>
      </c>
      <c r="D155" t="s">
        <v>2173</v>
      </c>
      <c r="E155" t="s">
        <v>2227</v>
      </c>
      <c r="F155">
        <v>815200</v>
      </c>
      <c r="G155" t="s">
        <v>2384</v>
      </c>
      <c r="H155">
        <v>90534</v>
      </c>
      <c r="I155">
        <v>0</v>
      </c>
      <c r="J155">
        <v>73</v>
      </c>
      <c r="K155">
        <v>3</v>
      </c>
      <c r="L155">
        <v>0</v>
      </c>
      <c r="M155">
        <v>469.6</v>
      </c>
      <c r="N155">
        <v>33648.75</v>
      </c>
      <c r="O155">
        <v>3578.4</v>
      </c>
      <c r="P155">
        <v>935.04</v>
      </c>
      <c r="Q155">
        <v>27102.66</v>
      </c>
      <c r="R155">
        <v>0</v>
      </c>
      <c r="S155">
        <v>0</v>
      </c>
      <c r="T155">
        <v>884.7</v>
      </c>
      <c r="U155">
        <v>0</v>
      </c>
      <c r="V155">
        <v>597.70000000000005</v>
      </c>
      <c r="W155">
        <v>0</v>
      </c>
      <c r="X155">
        <v>25620.26</v>
      </c>
      <c r="Y155">
        <v>2032.65</v>
      </c>
      <c r="Z155">
        <v>0</v>
      </c>
      <c r="AA155">
        <v>0</v>
      </c>
      <c r="AB155">
        <v>1815200</v>
      </c>
      <c r="AC155" t="s">
        <v>251</v>
      </c>
    </row>
    <row r="156" spans="1:29" outlineLevel="1" x14ac:dyDescent="0.2">
      <c r="B156" s="386" t="s">
        <v>2697</v>
      </c>
      <c r="N156">
        <f>SUBTOTAL(9,N155:N155)</f>
        <v>33648.75</v>
      </c>
    </row>
    <row r="157" spans="1:29" outlineLevel="2" x14ac:dyDescent="0.2">
      <c r="A157">
        <v>506</v>
      </c>
      <c r="B157">
        <v>2750789</v>
      </c>
      <c r="C157">
        <v>27507896</v>
      </c>
      <c r="D157" t="s">
        <v>932</v>
      </c>
      <c r="E157" t="s">
        <v>1034</v>
      </c>
      <c r="F157">
        <v>824000</v>
      </c>
      <c r="G157" t="s">
        <v>2384</v>
      </c>
      <c r="H157">
        <v>90534</v>
      </c>
      <c r="I157">
        <v>0</v>
      </c>
      <c r="J157">
        <v>5</v>
      </c>
      <c r="K157">
        <v>6</v>
      </c>
      <c r="L157">
        <v>0</v>
      </c>
      <c r="M157">
        <v>450</v>
      </c>
      <c r="N157">
        <v>39175.919999999998</v>
      </c>
      <c r="O157">
        <v>5797.85</v>
      </c>
      <c r="P157">
        <v>1218.1400000000001</v>
      </c>
      <c r="Q157">
        <v>29511.68</v>
      </c>
      <c r="R157">
        <v>0</v>
      </c>
      <c r="S157">
        <v>2663</v>
      </c>
      <c r="T157">
        <v>0</v>
      </c>
      <c r="U157">
        <v>0</v>
      </c>
      <c r="V157">
        <v>1840.85</v>
      </c>
      <c r="W157">
        <v>0</v>
      </c>
      <c r="X157">
        <v>25007.83</v>
      </c>
      <c r="Y157">
        <v>2648.25</v>
      </c>
      <c r="Z157">
        <v>0</v>
      </c>
      <c r="AA157">
        <v>0</v>
      </c>
      <c r="AB157">
        <v>1824000</v>
      </c>
      <c r="AC157" t="s">
        <v>251</v>
      </c>
    </row>
    <row r="158" spans="1:29" outlineLevel="1" x14ac:dyDescent="0.2">
      <c r="B158" s="386" t="s">
        <v>2696</v>
      </c>
      <c r="N158">
        <f>SUBTOTAL(9,N157:N157)</f>
        <v>39175.919999999998</v>
      </c>
    </row>
    <row r="159" spans="1:29" outlineLevel="2" x14ac:dyDescent="0.2">
      <c r="A159">
        <v>506</v>
      </c>
      <c r="B159">
        <v>2751043</v>
      </c>
      <c r="C159">
        <v>27510437</v>
      </c>
      <c r="D159" t="s">
        <v>2112</v>
      </c>
      <c r="E159" t="s">
        <v>2253</v>
      </c>
      <c r="F159">
        <v>615000</v>
      </c>
      <c r="G159" t="s">
        <v>2384</v>
      </c>
      <c r="H159">
        <v>90534</v>
      </c>
      <c r="I159">
        <v>0</v>
      </c>
      <c r="J159">
        <v>5</v>
      </c>
      <c r="K159">
        <v>7</v>
      </c>
      <c r="L159">
        <v>0</v>
      </c>
      <c r="M159">
        <v>630</v>
      </c>
      <c r="N159">
        <v>65030.28</v>
      </c>
      <c r="O159">
        <v>10397.75</v>
      </c>
      <c r="P159">
        <v>1717.6</v>
      </c>
      <c r="Q159">
        <v>49219.23</v>
      </c>
      <c r="R159">
        <v>0</v>
      </c>
      <c r="S159">
        <v>4025</v>
      </c>
      <c r="T159">
        <v>0</v>
      </c>
      <c r="U159">
        <v>0</v>
      </c>
      <c r="V159">
        <v>1971.3</v>
      </c>
      <c r="W159">
        <v>0</v>
      </c>
      <c r="X159">
        <v>43222.93</v>
      </c>
      <c r="Y159">
        <v>3695.7</v>
      </c>
      <c r="Z159">
        <v>0</v>
      </c>
      <c r="AA159">
        <v>0</v>
      </c>
      <c r="AB159">
        <v>1615000</v>
      </c>
      <c r="AC159" t="s">
        <v>251</v>
      </c>
    </row>
    <row r="160" spans="1:29" outlineLevel="1" x14ac:dyDescent="0.2">
      <c r="B160" s="386" t="s">
        <v>2695</v>
      </c>
      <c r="N160">
        <f>SUBTOTAL(9,N159:N159)</f>
        <v>65030.28</v>
      </c>
    </row>
    <row r="161" spans="1:29" outlineLevel="2" x14ac:dyDescent="0.2">
      <c r="A161">
        <v>506</v>
      </c>
      <c r="B161">
        <v>2751317</v>
      </c>
      <c r="C161">
        <v>27513175</v>
      </c>
      <c r="D161" t="s">
        <v>1390</v>
      </c>
      <c r="E161" t="s">
        <v>2154</v>
      </c>
      <c r="F161">
        <v>812502</v>
      </c>
      <c r="G161" t="s">
        <v>2384</v>
      </c>
      <c r="H161">
        <v>90534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37178.6</v>
      </c>
      <c r="O161">
        <v>3945.6</v>
      </c>
      <c r="P161">
        <v>1170.76</v>
      </c>
      <c r="Q161">
        <v>29517</v>
      </c>
      <c r="R161">
        <v>0</v>
      </c>
      <c r="S161">
        <v>1227</v>
      </c>
      <c r="T161">
        <v>0</v>
      </c>
      <c r="U161">
        <v>0</v>
      </c>
      <c r="V161">
        <v>0</v>
      </c>
      <c r="W161">
        <v>0</v>
      </c>
      <c r="X161">
        <v>28290</v>
      </c>
      <c r="Y161">
        <v>2545.2399999999998</v>
      </c>
      <c r="Z161">
        <v>0</v>
      </c>
      <c r="AA161">
        <v>0</v>
      </c>
      <c r="AB161">
        <v>1812502</v>
      </c>
      <c r="AC161" t="s">
        <v>251</v>
      </c>
    </row>
    <row r="162" spans="1:29" outlineLevel="2" x14ac:dyDescent="0.2">
      <c r="A162">
        <v>506</v>
      </c>
      <c r="B162">
        <v>2751317</v>
      </c>
      <c r="C162">
        <v>27513175</v>
      </c>
      <c r="D162" t="s">
        <v>1390</v>
      </c>
      <c r="E162" t="s">
        <v>2154</v>
      </c>
      <c r="F162">
        <v>812515</v>
      </c>
      <c r="G162" t="s">
        <v>2384</v>
      </c>
      <c r="H162">
        <v>90534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4355.75</v>
      </c>
      <c r="O162">
        <v>472.5</v>
      </c>
      <c r="P162">
        <v>120.74</v>
      </c>
      <c r="Q162">
        <v>3500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3500</v>
      </c>
      <c r="Y162">
        <v>262.51</v>
      </c>
      <c r="Z162">
        <v>0</v>
      </c>
      <c r="AA162">
        <v>0</v>
      </c>
      <c r="AB162">
        <v>1812515</v>
      </c>
      <c r="AC162" t="s">
        <v>251</v>
      </c>
    </row>
    <row r="163" spans="1:29" outlineLevel="1" x14ac:dyDescent="0.2">
      <c r="B163" s="386" t="s">
        <v>2694</v>
      </c>
      <c r="N163">
        <f>SUBTOTAL(9,N161:N162)</f>
        <v>41534.35</v>
      </c>
    </row>
    <row r="164" spans="1:29" outlineLevel="2" x14ac:dyDescent="0.2">
      <c r="A164">
        <v>506</v>
      </c>
      <c r="B164">
        <v>2767306</v>
      </c>
      <c r="C164">
        <v>27673060</v>
      </c>
      <c r="D164" t="s">
        <v>2111</v>
      </c>
      <c r="E164" t="s">
        <v>2405</v>
      </c>
      <c r="F164">
        <v>815200</v>
      </c>
      <c r="G164" t="s">
        <v>2384</v>
      </c>
      <c r="H164">
        <v>90534</v>
      </c>
      <c r="I164">
        <v>0</v>
      </c>
      <c r="J164">
        <v>93</v>
      </c>
      <c r="K164">
        <v>2</v>
      </c>
      <c r="L164">
        <v>0</v>
      </c>
      <c r="M164">
        <v>652.20000000000005</v>
      </c>
      <c r="N164">
        <v>66505.37</v>
      </c>
      <c r="O164">
        <v>7068.2</v>
      </c>
      <c r="P164">
        <v>2115.0700000000002</v>
      </c>
      <c r="Q164">
        <v>53322.95</v>
      </c>
      <c r="R164">
        <v>0</v>
      </c>
      <c r="S164">
        <v>989.35</v>
      </c>
      <c r="T164">
        <v>4403.1499999999996</v>
      </c>
      <c r="U164">
        <v>0</v>
      </c>
      <c r="V164">
        <v>965.8</v>
      </c>
      <c r="W164">
        <v>0</v>
      </c>
      <c r="X164">
        <v>46964.65</v>
      </c>
      <c r="Y164">
        <v>3999.15</v>
      </c>
      <c r="Z164">
        <v>0</v>
      </c>
      <c r="AA164">
        <v>0</v>
      </c>
      <c r="AB164">
        <v>1815200</v>
      </c>
      <c r="AC164" t="s">
        <v>251</v>
      </c>
    </row>
    <row r="165" spans="1:29" outlineLevel="1" x14ac:dyDescent="0.2">
      <c r="B165" s="386" t="s">
        <v>2693</v>
      </c>
      <c r="N165">
        <f>SUBTOTAL(9,N164:N164)</f>
        <v>66505.37</v>
      </c>
    </row>
    <row r="166" spans="1:29" outlineLevel="2" x14ac:dyDescent="0.2">
      <c r="A166">
        <v>506</v>
      </c>
      <c r="B166">
        <v>2767428</v>
      </c>
      <c r="C166">
        <v>27674282</v>
      </c>
      <c r="D166" t="s">
        <v>1419</v>
      </c>
      <c r="E166" t="s">
        <v>1513</v>
      </c>
      <c r="F166">
        <v>742200</v>
      </c>
      <c r="G166" t="s">
        <v>2384</v>
      </c>
      <c r="H166">
        <v>90534</v>
      </c>
      <c r="I166">
        <v>1</v>
      </c>
      <c r="J166">
        <v>0</v>
      </c>
      <c r="K166">
        <v>0</v>
      </c>
      <c r="L166">
        <v>0</v>
      </c>
      <c r="M166">
        <v>0</v>
      </c>
      <c r="N166">
        <v>2425.56</v>
      </c>
      <c r="O166">
        <v>163.51</v>
      </c>
      <c r="P166">
        <v>74.59</v>
      </c>
      <c r="Q166">
        <v>2034.8</v>
      </c>
      <c r="R166">
        <v>0</v>
      </c>
      <c r="S166">
        <v>0</v>
      </c>
      <c r="T166">
        <v>0</v>
      </c>
      <c r="U166">
        <v>0</v>
      </c>
      <c r="V166">
        <v>1307.05</v>
      </c>
      <c r="W166">
        <v>727.75</v>
      </c>
      <c r="X166">
        <v>0</v>
      </c>
      <c r="Y166">
        <v>152.66</v>
      </c>
      <c r="Z166">
        <v>0</v>
      </c>
      <c r="AA166">
        <v>0</v>
      </c>
      <c r="AB166">
        <v>1742200</v>
      </c>
      <c r="AC166" t="s">
        <v>251</v>
      </c>
    </row>
    <row r="167" spans="1:29" outlineLevel="2" x14ac:dyDescent="0.2">
      <c r="A167">
        <v>506</v>
      </c>
      <c r="B167">
        <v>2767428</v>
      </c>
      <c r="C167">
        <v>27674282</v>
      </c>
      <c r="D167" t="s">
        <v>1419</v>
      </c>
      <c r="E167" t="s">
        <v>1513</v>
      </c>
      <c r="F167">
        <v>813200</v>
      </c>
      <c r="G167" t="s">
        <v>2384</v>
      </c>
      <c r="H167">
        <v>90534</v>
      </c>
      <c r="I167">
        <v>0</v>
      </c>
      <c r="J167">
        <v>5</v>
      </c>
      <c r="K167">
        <v>4</v>
      </c>
      <c r="L167">
        <v>0</v>
      </c>
      <c r="M167">
        <v>700</v>
      </c>
      <c r="N167">
        <v>57278.15</v>
      </c>
      <c r="O167">
        <v>8897.94</v>
      </c>
      <c r="P167">
        <v>1561.48</v>
      </c>
      <c r="Q167">
        <v>43552.34</v>
      </c>
      <c r="R167">
        <v>0</v>
      </c>
      <c r="S167">
        <v>5075.7</v>
      </c>
      <c r="T167">
        <v>0</v>
      </c>
      <c r="U167">
        <v>0</v>
      </c>
      <c r="V167">
        <v>237</v>
      </c>
      <c r="W167">
        <v>0</v>
      </c>
      <c r="X167">
        <v>38239.64</v>
      </c>
      <c r="Y167">
        <v>3266.39</v>
      </c>
      <c r="Z167">
        <v>0</v>
      </c>
      <c r="AA167">
        <v>0</v>
      </c>
      <c r="AB167">
        <v>1813200</v>
      </c>
      <c r="AC167" t="s">
        <v>251</v>
      </c>
    </row>
    <row r="168" spans="1:29" outlineLevel="1" x14ac:dyDescent="0.2">
      <c r="B168" s="386" t="s">
        <v>2692</v>
      </c>
      <c r="N168">
        <f>SUBTOTAL(9,N166:N167)</f>
        <v>59703.71</v>
      </c>
    </row>
    <row r="169" spans="1:29" outlineLevel="2" x14ac:dyDescent="0.2">
      <c r="A169">
        <v>506</v>
      </c>
      <c r="B169">
        <v>2815163</v>
      </c>
      <c r="C169">
        <v>28151637</v>
      </c>
      <c r="D169" t="s">
        <v>2123</v>
      </c>
      <c r="E169" t="s">
        <v>2175</v>
      </c>
      <c r="F169">
        <v>813202</v>
      </c>
      <c r="G169" t="s">
        <v>2384</v>
      </c>
      <c r="H169">
        <v>90534</v>
      </c>
      <c r="I169">
        <v>0</v>
      </c>
      <c r="J169">
        <v>5</v>
      </c>
      <c r="K169">
        <v>4</v>
      </c>
      <c r="L169">
        <v>0</v>
      </c>
      <c r="M169">
        <v>450</v>
      </c>
      <c r="N169">
        <v>45274.85</v>
      </c>
      <c r="O169">
        <v>6891.95</v>
      </c>
      <c r="P169">
        <v>1193.5</v>
      </c>
      <c r="Q169">
        <v>34594.800000000003</v>
      </c>
      <c r="R169">
        <v>0</v>
      </c>
      <c r="S169">
        <v>3195.6</v>
      </c>
      <c r="T169">
        <v>0</v>
      </c>
      <c r="U169">
        <v>0</v>
      </c>
      <c r="V169">
        <v>1543.8</v>
      </c>
      <c r="W169">
        <v>0</v>
      </c>
      <c r="X169">
        <v>29855.4</v>
      </c>
      <c r="Y169">
        <v>2594.6</v>
      </c>
      <c r="Z169">
        <v>0</v>
      </c>
      <c r="AA169">
        <v>0</v>
      </c>
      <c r="AB169">
        <v>1813202</v>
      </c>
      <c r="AC169" t="s">
        <v>251</v>
      </c>
    </row>
    <row r="170" spans="1:29" outlineLevel="1" x14ac:dyDescent="0.2">
      <c r="B170" s="386" t="s">
        <v>2691</v>
      </c>
      <c r="N170">
        <f>SUBTOTAL(9,N169:N169)</f>
        <v>45274.85</v>
      </c>
    </row>
    <row r="171" spans="1:29" outlineLevel="2" x14ac:dyDescent="0.2">
      <c r="A171">
        <v>506</v>
      </c>
      <c r="B171">
        <v>2815172</v>
      </c>
      <c r="C171">
        <v>28151728</v>
      </c>
      <c r="D171" t="s">
        <v>2131</v>
      </c>
      <c r="E171" t="s">
        <v>2254</v>
      </c>
      <c r="F171">
        <v>615000</v>
      </c>
      <c r="G171" t="s">
        <v>2384</v>
      </c>
      <c r="H171">
        <v>90534</v>
      </c>
      <c r="I171">
        <v>1</v>
      </c>
      <c r="J171">
        <v>0</v>
      </c>
      <c r="K171">
        <v>0</v>
      </c>
      <c r="L171">
        <v>0</v>
      </c>
      <c r="M171">
        <v>0</v>
      </c>
      <c r="N171">
        <v>31414.52</v>
      </c>
      <c r="O171">
        <v>4660.3500000000004</v>
      </c>
      <c r="P171">
        <v>843.12</v>
      </c>
      <c r="Q171">
        <v>24078.15</v>
      </c>
      <c r="R171">
        <v>0</v>
      </c>
      <c r="S171">
        <v>2663</v>
      </c>
      <c r="T171">
        <v>0</v>
      </c>
      <c r="U171">
        <v>0</v>
      </c>
      <c r="V171">
        <v>1365.15</v>
      </c>
      <c r="W171">
        <v>0</v>
      </c>
      <c r="X171">
        <v>20050</v>
      </c>
      <c r="Y171">
        <v>1832.9</v>
      </c>
      <c r="Z171">
        <v>0</v>
      </c>
      <c r="AA171">
        <v>0</v>
      </c>
      <c r="AB171">
        <v>1615000</v>
      </c>
      <c r="AC171" t="s">
        <v>251</v>
      </c>
    </row>
    <row r="172" spans="1:29" outlineLevel="1" x14ac:dyDescent="0.2">
      <c r="B172" s="386" t="s">
        <v>2690</v>
      </c>
      <c r="N172">
        <f>SUBTOTAL(9,N171:N171)</f>
        <v>31414.52</v>
      </c>
    </row>
    <row r="173" spans="1:29" outlineLevel="2" x14ac:dyDescent="0.2">
      <c r="A173">
        <v>506</v>
      </c>
      <c r="B173">
        <v>2815420</v>
      </c>
      <c r="C173">
        <v>28154201</v>
      </c>
      <c r="D173" t="s">
        <v>2193</v>
      </c>
      <c r="E173" t="s">
        <v>2167</v>
      </c>
      <c r="F173">
        <v>813300</v>
      </c>
      <c r="G173" t="s">
        <v>2384</v>
      </c>
      <c r="H173">
        <v>90534</v>
      </c>
      <c r="I173">
        <v>0</v>
      </c>
      <c r="J173">
        <v>5</v>
      </c>
      <c r="K173">
        <v>7</v>
      </c>
      <c r="L173">
        <v>0</v>
      </c>
      <c r="M173">
        <v>720</v>
      </c>
      <c r="N173">
        <v>67558.37</v>
      </c>
      <c r="O173">
        <v>11408.35</v>
      </c>
      <c r="P173">
        <v>1801.29</v>
      </c>
      <c r="Q173">
        <v>50531.83</v>
      </c>
      <c r="R173">
        <v>0</v>
      </c>
      <c r="S173">
        <v>4260.8</v>
      </c>
      <c r="T173">
        <v>0</v>
      </c>
      <c r="U173">
        <v>0</v>
      </c>
      <c r="V173">
        <v>1511.3</v>
      </c>
      <c r="W173">
        <v>0</v>
      </c>
      <c r="X173">
        <v>44759.73</v>
      </c>
      <c r="Y173">
        <v>3816.9</v>
      </c>
      <c r="Z173">
        <v>0</v>
      </c>
      <c r="AA173">
        <v>0</v>
      </c>
      <c r="AB173">
        <v>1813300</v>
      </c>
      <c r="AC173" t="s">
        <v>251</v>
      </c>
    </row>
    <row r="174" spans="1:29" outlineLevel="1" x14ac:dyDescent="0.2">
      <c r="B174" s="386" t="s">
        <v>2689</v>
      </c>
      <c r="N174">
        <f>SUBTOTAL(9,N173:N173)</f>
        <v>67558.37</v>
      </c>
    </row>
    <row r="175" spans="1:29" outlineLevel="2" x14ac:dyDescent="0.2">
      <c r="A175">
        <v>506</v>
      </c>
      <c r="B175">
        <v>2815747</v>
      </c>
      <c r="C175">
        <v>28157477</v>
      </c>
      <c r="D175" t="s">
        <v>2143</v>
      </c>
      <c r="E175" t="s">
        <v>2144</v>
      </c>
      <c r="F175">
        <v>812300</v>
      </c>
      <c r="G175" t="s">
        <v>2384</v>
      </c>
      <c r="H175">
        <v>90534</v>
      </c>
      <c r="I175">
        <v>0</v>
      </c>
      <c r="J175">
        <v>5</v>
      </c>
      <c r="K175">
        <v>6</v>
      </c>
      <c r="L175">
        <v>0</v>
      </c>
      <c r="M175">
        <v>60</v>
      </c>
      <c r="N175">
        <v>4486.43</v>
      </c>
      <c r="O175">
        <v>701.05</v>
      </c>
      <c r="P175">
        <v>117.71</v>
      </c>
      <c r="Q175">
        <v>3411.77</v>
      </c>
      <c r="R175">
        <v>0</v>
      </c>
      <c r="S175">
        <v>0</v>
      </c>
      <c r="T175">
        <v>0</v>
      </c>
      <c r="U175">
        <v>0</v>
      </c>
      <c r="V175">
        <v>96.6</v>
      </c>
      <c r="W175">
        <v>0</v>
      </c>
      <c r="X175">
        <v>3315.17</v>
      </c>
      <c r="Y175">
        <v>255.9</v>
      </c>
      <c r="Z175">
        <v>0</v>
      </c>
      <c r="AA175">
        <v>0</v>
      </c>
      <c r="AB175">
        <v>1812300</v>
      </c>
      <c r="AC175" t="s">
        <v>251</v>
      </c>
    </row>
    <row r="176" spans="1:29" outlineLevel="2" x14ac:dyDescent="0.2">
      <c r="A176">
        <v>506</v>
      </c>
      <c r="B176">
        <v>2815747</v>
      </c>
      <c r="C176">
        <v>28157477</v>
      </c>
      <c r="D176" t="s">
        <v>2143</v>
      </c>
      <c r="E176" t="s">
        <v>2144</v>
      </c>
      <c r="F176">
        <v>841300</v>
      </c>
      <c r="G176" t="s">
        <v>2384</v>
      </c>
      <c r="H176">
        <v>90534</v>
      </c>
      <c r="I176">
        <v>0</v>
      </c>
      <c r="J176">
        <v>5</v>
      </c>
      <c r="K176">
        <v>6</v>
      </c>
      <c r="L176">
        <v>0</v>
      </c>
      <c r="M176">
        <v>480</v>
      </c>
      <c r="N176">
        <v>41939.14</v>
      </c>
      <c r="O176">
        <v>6301.6</v>
      </c>
      <c r="P176">
        <v>1108.17</v>
      </c>
      <c r="Q176">
        <v>32120.32</v>
      </c>
      <c r="R176">
        <v>0</v>
      </c>
      <c r="S176">
        <v>3222.25</v>
      </c>
      <c r="T176">
        <v>0</v>
      </c>
      <c r="U176">
        <v>0</v>
      </c>
      <c r="V176">
        <v>1908</v>
      </c>
      <c r="W176">
        <v>0</v>
      </c>
      <c r="X176">
        <v>26990.07</v>
      </c>
      <c r="Y176">
        <v>2409.0500000000002</v>
      </c>
      <c r="Z176">
        <v>0</v>
      </c>
      <c r="AA176">
        <v>0</v>
      </c>
      <c r="AB176">
        <v>1841300</v>
      </c>
      <c r="AC176" t="s">
        <v>251</v>
      </c>
    </row>
    <row r="177" spans="1:29" outlineLevel="1" x14ac:dyDescent="0.2">
      <c r="B177" s="386" t="s">
        <v>2688</v>
      </c>
      <c r="N177">
        <f>SUBTOTAL(9,N175:N176)</f>
        <v>46425.57</v>
      </c>
    </row>
    <row r="178" spans="1:29" outlineLevel="2" x14ac:dyDescent="0.2">
      <c r="A178">
        <v>506</v>
      </c>
      <c r="B178">
        <v>2820879</v>
      </c>
      <c r="C178">
        <v>28208791</v>
      </c>
      <c r="D178" t="s">
        <v>2180</v>
      </c>
      <c r="E178" t="s">
        <v>1561</v>
      </c>
      <c r="F178">
        <v>813300</v>
      </c>
      <c r="G178" t="s">
        <v>2384</v>
      </c>
      <c r="H178">
        <v>90534</v>
      </c>
      <c r="I178">
        <v>0</v>
      </c>
      <c r="J178">
        <v>5</v>
      </c>
      <c r="K178">
        <v>7</v>
      </c>
      <c r="L178">
        <v>0</v>
      </c>
      <c r="M178">
        <v>378</v>
      </c>
      <c r="N178">
        <v>34470.239999999998</v>
      </c>
      <c r="O178">
        <v>5289.85</v>
      </c>
      <c r="P178">
        <v>907.37</v>
      </c>
      <c r="Q178">
        <v>26300.42</v>
      </c>
      <c r="R178">
        <v>0</v>
      </c>
      <c r="S178">
        <v>2236.9</v>
      </c>
      <c r="T178">
        <v>0</v>
      </c>
      <c r="U178">
        <v>0</v>
      </c>
      <c r="V178">
        <v>1190.55</v>
      </c>
      <c r="W178">
        <v>0</v>
      </c>
      <c r="X178">
        <v>22872.97</v>
      </c>
      <c r="Y178">
        <v>1972.6</v>
      </c>
      <c r="Z178">
        <v>0</v>
      </c>
      <c r="AA178">
        <v>0</v>
      </c>
      <c r="AB178">
        <v>1813300</v>
      </c>
      <c r="AC178" t="s">
        <v>251</v>
      </c>
    </row>
    <row r="179" spans="1:29" outlineLevel="2" x14ac:dyDescent="0.2">
      <c r="A179">
        <v>506</v>
      </c>
      <c r="B179">
        <v>2820879</v>
      </c>
      <c r="C179">
        <v>28208791</v>
      </c>
      <c r="D179" t="s">
        <v>2180</v>
      </c>
      <c r="E179" t="s">
        <v>1561</v>
      </c>
      <c r="F179">
        <v>814000</v>
      </c>
      <c r="G179" t="s">
        <v>2384</v>
      </c>
      <c r="H179">
        <v>90534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465.98</v>
      </c>
      <c r="O179">
        <v>0</v>
      </c>
      <c r="P179">
        <v>14.48</v>
      </c>
      <c r="Q179">
        <v>420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420</v>
      </c>
      <c r="Y179">
        <v>31.5</v>
      </c>
      <c r="Z179">
        <v>0</v>
      </c>
      <c r="AA179">
        <v>0</v>
      </c>
      <c r="AB179">
        <v>1814000</v>
      </c>
      <c r="AC179" t="s">
        <v>251</v>
      </c>
    </row>
    <row r="180" spans="1:29" outlineLevel="1" x14ac:dyDescent="0.2">
      <c r="B180" s="386" t="s">
        <v>2687</v>
      </c>
      <c r="N180">
        <f>SUBTOTAL(9,N178:N179)</f>
        <v>34936.22</v>
      </c>
    </row>
    <row r="181" spans="1:29" outlineLevel="2" x14ac:dyDescent="0.2">
      <c r="A181">
        <v>506</v>
      </c>
      <c r="B181">
        <v>2823141</v>
      </c>
      <c r="C181">
        <v>28231413</v>
      </c>
      <c r="D181" t="s">
        <v>1531</v>
      </c>
      <c r="E181" t="s">
        <v>2145</v>
      </c>
      <c r="F181">
        <v>812200</v>
      </c>
      <c r="G181" t="s">
        <v>2384</v>
      </c>
      <c r="H181">
        <v>90534</v>
      </c>
      <c r="I181">
        <v>0</v>
      </c>
      <c r="J181">
        <v>5</v>
      </c>
      <c r="K181">
        <v>6</v>
      </c>
      <c r="L181">
        <v>0</v>
      </c>
      <c r="M181">
        <v>664</v>
      </c>
      <c r="N181">
        <v>61205.2</v>
      </c>
      <c r="O181">
        <v>9375.85</v>
      </c>
      <c r="P181">
        <v>1634.6</v>
      </c>
      <c r="Q181">
        <v>46692.9</v>
      </c>
      <c r="R181">
        <v>0</v>
      </c>
      <c r="S181">
        <v>4420.6000000000004</v>
      </c>
      <c r="T181">
        <v>0</v>
      </c>
      <c r="U181">
        <v>0</v>
      </c>
      <c r="V181">
        <v>1514.45</v>
      </c>
      <c r="W181">
        <v>0</v>
      </c>
      <c r="X181">
        <v>40757.85</v>
      </c>
      <c r="Y181">
        <v>3501.85</v>
      </c>
      <c r="Z181">
        <v>0</v>
      </c>
      <c r="AA181">
        <v>0</v>
      </c>
      <c r="AB181">
        <v>1812200</v>
      </c>
      <c r="AC181" t="s">
        <v>251</v>
      </c>
    </row>
    <row r="182" spans="1:29" outlineLevel="2" x14ac:dyDescent="0.2">
      <c r="A182">
        <v>506</v>
      </c>
      <c r="B182">
        <v>2823141</v>
      </c>
      <c r="C182">
        <v>28231413</v>
      </c>
      <c r="D182" t="s">
        <v>1531</v>
      </c>
      <c r="E182" t="s">
        <v>2145</v>
      </c>
      <c r="F182">
        <v>812300</v>
      </c>
      <c r="G182" t="s">
        <v>2384</v>
      </c>
      <c r="H182">
        <v>90534</v>
      </c>
      <c r="I182">
        <v>0</v>
      </c>
      <c r="J182">
        <v>5</v>
      </c>
      <c r="K182">
        <v>6</v>
      </c>
      <c r="L182">
        <v>0</v>
      </c>
      <c r="M182">
        <v>83</v>
      </c>
      <c r="N182">
        <v>6642.81</v>
      </c>
      <c r="O182">
        <v>1042.05</v>
      </c>
      <c r="P182">
        <v>174.16</v>
      </c>
      <c r="Q182">
        <v>5048</v>
      </c>
      <c r="R182">
        <v>0</v>
      </c>
      <c r="S182">
        <v>0</v>
      </c>
      <c r="T182">
        <v>0</v>
      </c>
      <c r="U182">
        <v>0</v>
      </c>
      <c r="V182">
        <v>112.75</v>
      </c>
      <c r="W182">
        <v>0</v>
      </c>
      <c r="X182">
        <v>4935.25</v>
      </c>
      <c r="Y182">
        <v>378.6</v>
      </c>
      <c r="Z182">
        <v>0</v>
      </c>
      <c r="AA182">
        <v>0</v>
      </c>
      <c r="AB182">
        <v>1812300</v>
      </c>
      <c r="AC182" t="s">
        <v>251</v>
      </c>
    </row>
    <row r="183" spans="1:29" outlineLevel="1" x14ac:dyDescent="0.2">
      <c r="B183" s="386" t="s">
        <v>2686</v>
      </c>
      <c r="N183">
        <f>SUBTOTAL(9,N181:N182)</f>
        <v>67848.009999999995</v>
      </c>
    </row>
    <row r="184" spans="1:29" outlineLevel="2" x14ac:dyDescent="0.2">
      <c r="A184">
        <v>506</v>
      </c>
      <c r="B184">
        <v>2824458</v>
      </c>
      <c r="C184">
        <v>28244580</v>
      </c>
      <c r="D184" t="s">
        <v>2111</v>
      </c>
      <c r="E184" t="s">
        <v>1820</v>
      </c>
      <c r="F184">
        <v>812200</v>
      </c>
      <c r="G184" t="s">
        <v>2384</v>
      </c>
      <c r="H184">
        <v>90534</v>
      </c>
      <c r="I184">
        <v>0</v>
      </c>
      <c r="J184">
        <v>5</v>
      </c>
      <c r="K184">
        <v>37</v>
      </c>
      <c r="L184">
        <v>0</v>
      </c>
      <c r="M184">
        <v>747</v>
      </c>
      <c r="N184">
        <v>80225.350000000006</v>
      </c>
      <c r="O184">
        <v>13580.2</v>
      </c>
      <c r="P184">
        <v>2398.06</v>
      </c>
      <c r="Q184">
        <v>59733.49</v>
      </c>
      <c r="R184">
        <v>0</v>
      </c>
      <c r="S184">
        <v>5124.3999999999996</v>
      </c>
      <c r="T184">
        <v>0</v>
      </c>
      <c r="U184">
        <v>0</v>
      </c>
      <c r="V184">
        <v>1418.5</v>
      </c>
      <c r="W184">
        <v>0</v>
      </c>
      <c r="X184">
        <v>53190.59</v>
      </c>
      <c r="Y184">
        <v>4513.6000000000004</v>
      </c>
      <c r="Z184">
        <v>0</v>
      </c>
      <c r="AA184">
        <v>0</v>
      </c>
      <c r="AB184">
        <v>1812200</v>
      </c>
      <c r="AC184" t="s">
        <v>251</v>
      </c>
    </row>
    <row r="185" spans="1:29" outlineLevel="1" x14ac:dyDescent="0.2">
      <c r="B185" s="386" t="s">
        <v>2685</v>
      </c>
      <c r="N185">
        <f>SUBTOTAL(9,N184:N184)</f>
        <v>80225.350000000006</v>
      </c>
    </row>
    <row r="186" spans="1:29" outlineLevel="2" x14ac:dyDescent="0.2">
      <c r="A186">
        <v>506</v>
      </c>
      <c r="B186">
        <v>2824491</v>
      </c>
      <c r="C186">
        <v>28244911</v>
      </c>
      <c r="D186" t="s">
        <v>1531</v>
      </c>
      <c r="E186" t="s">
        <v>2316</v>
      </c>
      <c r="F186">
        <v>841300</v>
      </c>
      <c r="G186" t="s">
        <v>2384</v>
      </c>
      <c r="H186">
        <v>90534</v>
      </c>
      <c r="I186">
        <v>0</v>
      </c>
      <c r="J186">
        <v>5</v>
      </c>
      <c r="K186">
        <v>37</v>
      </c>
      <c r="L186">
        <v>0</v>
      </c>
      <c r="M186">
        <v>83</v>
      </c>
      <c r="N186">
        <v>6579.86</v>
      </c>
      <c r="O186">
        <v>541.66999999999996</v>
      </c>
      <c r="P186">
        <v>193.24</v>
      </c>
      <c r="Q186">
        <v>5437.24</v>
      </c>
      <c r="R186">
        <v>0</v>
      </c>
      <c r="S186">
        <v>0</v>
      </c>
      <c r="T186">
        <v>0</v>
      </c>
      <c r="U186">
        <v>0</v>
      </c>
      <c r="V186">
        <v>40.35</v>
      </c>
      <c r="W186">
        <v>0</v>
      </c>
      <c r="X186">
        <v>5396.89</v>
      </c>
      <c r="Y186">
        <v>407.71</v>
      </c>
      <c r="Z186">
        <v>0</v>
      </c>
      <c r="AA186">
        <v>0</v>
      </c>
      <c r="AB186">
        <v>1841300</v>
      </c>
      <c r="AC186" t="s">
        <v>251</v>
      </c>
    </row>
    <row r="187" spans="1:29" outlineLevel="2" x14ac:dyDescent="0.2">
      <c r="A187">
        <v>506</v>
      </c>
      <c r="B187">
        <v>2824491</v>
      </c>
      <c r="C187">
        <v>28244911</v>
      </c>
      <c r="D187" t="s">
        <v>1531</v>
      </c>
      <c r="E187" t="s">
        <v>2316</v>
      </c>
      <c r="F187">
        <v>845200</v>
      </c>
      <c r="G187" t="s">
        <v>2384</v>
      </c>
      <c r="H187">
        <v>90534</v>
      </c>
      <c r="I187">
        <v>0</v>
      </c>
      <c r="J187">
        <v>5</v>
      </c>
      <c r="K187">
        <v>7</v>
      </c>
      <c r="L187">
        <v>0</v>
      </c>
      <c r="M187">
        <v>492.6</v>
      </c>
      <c r="N187">
        <v>52080.639999999999</v>
      </c>
      <c r="O187">
        <v>3751.08</v>
      </c>
      <c r="P187">
        <v>1506.33</v>
      </c>
      <c r="Q187">
        <v>43556.34</v>
      </c>
      <c r="R187">
        <v>0</v>
      </c>
      <c r="S187">
        <v>3958.8</v>
      </c>
      <c r="T187">
        <v>0</v>
      </c>
      <c r="U187">
        <v>0</v>
      </c>
      <c r="V187">
        <v>1643.3</v>
      </c>
      <c r="W187">
        <v>0</v>
      </c>
      <c r="X187">
        <v>37954.239999999998</v>
      </c>
      <c r="Y187">
        <v>3266.89</v>
      </c>
      <c r="Z187">
        <v>0</v>
      </c>
      <c r="AA187">
        <v>0</v>
      </c>
      <c r="AB187">
        <v>1845200</v>
      </c>
      <c r="AC187" t="s">
        <v>251</v>
      </c>
    </row>
    <row r="188" spans="1:29" outlineLevel="1" x14ac:dyDescent="0.2">
      <c r="B188" s="386" t="s">
        <v>2684</v>
      </c>
      <c r="N188">
        <f>SUBTOTAL(9,N186:N187)</f>
        <v>58660.5</v>
      </c>
    </row>
    <row r="189" spans="1:29" outlineLevel="2" x14ac:dyDescent="0.2">
      <c r="A189">
        <v>506</v>
      </c>
      <c r="B189">
        <v>2824628</v>
      </c>
      <c r="C189">
        <v>28246288</v>
      </c>
      <c r="D189" t="s">
        <v>2275</v>
      </c>
      <c r="E189" t="s">
        <v>2319</v>
      </c>
      <c r="F189">
        <v>813320</v>
      </c>
      <c r="G189" t="s">
        <v>2384</v>
      </c>
      <c r="H189">
        <v>90534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1789.52</v>
      </c>
      <c r="O189">
        <v>177.8</v>
      </c>
      <c r="P189">
        <v>50.12</v>
      </c>
      <c r="Q189">
        <v>1452.65</v>
      </c>
      <c r="R189">
        <v>0</v>
      </c>
      <c r="S189">
        <v>0</v>
      </c>
      <c r="T189">
        <v>0</v>
      </c>
      <c r="U189">
        <v>0</v>
      </c>
      <c r="V189">
        <v>135.55000000000001</v>
      </c>
      <c r="W189">
        <v>0</v>
      </c>
      <c r="X189">
        <v>1317.1</v>
      </c>
      <c r="Y189">
        <v>108.95</v>
      </c>
      <c r="Z189">
        <v>0</v>
      </c>
      <c r="AA189">
        <v>0</v>
      </c>
      <c r="AB189">
        <v>1813320</v>
      </c>
      <c r="AC189" t="s">
        <v>251</v>
      </c>
    </row>
    <row r="190" spans="1:29" outlineLevel="1" x14ac:dyDescent="0.2">
      <c r="B190" s="386" t="s">
        <v>2683</v>
      </c>
      <c r="N190">
        <f>SUBTOTAL(9,N189:N189)</f>
        <v>1789.52</v>
      </c>
    </row>
    <row r="191" spans="1:29" outlineLevel="2" x14ac:dyDescent="0.2">
      <c r="A191">
        <v>506</v>
      </c>
      <c r="B191">
        <v>2824827</v>
      </c>
      <c r="C191">
        <v>28248276</v>
      </c>
      <c r="D191" t="s">
        <v>1600</v>
      </c>
      <c r="E191" t="s">
        <v>2352</v>
      </c>
      <c r="F191">
        <v>814000</v>
      </c>
      <c r="G191" t="s">
        <v>2384</v>
      </c>
      <c r="H191">
        <v>90534</v>
      </c>
      <c r="I191">
        <v>0</v>
      </c>
      <c r="J191">
        <v>5</v>
      </c>
      <c r="K191">
        <v>37</v>
      </c>
      <c r="L191">
        <v>0</v>
      </c>
      <c r="M191">
        <v>700</v>
      </c>
      <c r="N191">
        <v>72523.03</v>
      </c>
      <c r="O191">
        <v>5202.1499999999996</v>
      </c>
      <c r="P191">
        <v>2401.38</v>
      </c>
      <c r="Q191">
        <v>53757.8</v>
      </c>
      <c r="R191">
        <v>0</v>
      </c>
      <c r="S191">
        <v>6345.85</v>
      </c>
      <c r="T191">
        <v>0</v>
      </c>
      <c r="U191">
        <v>0</v>
      </c>
      <c r="V191">
        <v>1472.95</v>
      </c>
      <c r="W191">
        <v>0</v>
      </c>
      <c r="X191">
        <v>45939</v>
      </c>
      <c r="Y191">
        <v>4544.1499999999996</v>
      </c>
      <c r="Z191">
        <v>0</v>
      </c>
      <c r="AA191">
        <v>0</v>
      </c>
      <c r="AB191">
        <v>1814000</v>
      </c>
      <c r="AC191" t="s">
        <v>251</v>
      </c>
    </row>
    <row r="192" spans="1:29" outlineLevel="2" x14ac:dyDescent="0.2">
      <c r="A192">
        <v>506</v>
      </c>
      <c r="B192">
        <v>2824827</v>
      </c>
      <c r="C192">
        <v>28248276</v>
      </c>
      <c r="D192" t="s">
        <v>1600</v>
      </c>
      <c r="E192" t="s">
        <v>2352</v>
      </c>
      <c r="F192">
        <v>996000</v>
      </c>
      <c r="G192" t="s">
        <v>2384</v>
      </c>
      <c r="H192">
        <v>90534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2056.35</v>
      </c>
      <c r="O192">
        <v>0</v>
      </c>
      <c r="P192">
        <v>1</v>
      </c>
      <c r="Q192">
        <v>1909.95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1909.95</v>
      </c>
      <c r="Y192">
        <v>145.4</v>
      </c>
      <c r="Z192">
        <v>0</v>
      </c>
      <c r="AA192">
        <v>0</v>
      </c>
      <c r="AB192">
        <v>1996000</v>
      </c>
      <c r="AC192" t="s">
        <v>251</v>
      </c>
    </row>
    <row r="193" spans="1:29" outlineLevel="1" x14ac:dyDescent="0.2">
      <c r="B193" s="386" t="s">
        <v>2682</v>
      </c>
      <c r="N193">
        <f>SUBTOTAL(9,N191:N192)</f>
        <v>74579.38</v>
      </c>
    </row>
    <row r="194" spans="1:29" outlineLevel="2" x14ac:dyDescent="0.2">
      <c r="A194">
        <v>506</v>
      </c>
      <c r="B194">
        <v>2826156</v>
      </c>
      <c r="C194">
        <v>28261568</v>
      </c>
      <c r="D194" t="s">
        <v>1390</v>
      </c>
      <c r="E194" t="s">
        <v>2237</v>
      </c>
      <c r="F194">
        <v>841000</v>
      </c>
      <c r="G194" t="s">
        <v>2384</v>
      </c>
      <c r="H194">
        <v>90534</v>
      </c>
      <c r="I194">
        <v>0</v>
      </c>
      <c r="J194">
        <v>86</v>
      </c>
      <c r="K194">
        <v>2</v>
      </c>
      <c r="L194">
        <v>2</v>
      </c>
      <c r="M194">
        <v>900</v>
      </c>
      <c r="N194">
        <v>128482.65</v>
      </c>
      <c r="O194">
        <v>18583.95</v>
      </c>
      <c r="P194">
        <v>5311.02</v>
      </c>
      <c r="Q194">
        <v>97161.13</v>
      </c>
      <c r="R194">
        <v>0</v>
      </c>
      <c r="S194">
        <v>4902</v>
      </c>
      <c r="T194">
        <v>0</v>
      </c>
      <c r="U194">
        <v>6930</v>
      </c>
      <c r="V194">
        <v>15192.95</v>
      </c>
      <c r="W194">
        <v>0</v>
      </c>
      <c r="X194">
        <v>70136.179999999993</v>
      </c>
      <c r="Y194">
        <v>7426.55</v>
      </c>
      <c r="Z194">
        <v>0</v>
      </c>
      <c r="AA194">
        <v>0</v>
      </c>
      <c r="AB194">
        <v>1841000</v>
      </c>
      <c r="AC194" t="s">
        <v>251</v>
      </c>
    </row>
    <row r="195" spans="1:29" outlineLevel="1" x14ac:dyDescent="0.2">
      <c r="B195" s="386" t="s">
        <v>2681</v>
      </c>
      <c r="N195">
        <f>SUBTOTAL(9,N194:N194)</f>
        <v>128482.65</v>
      </c>
    </row>
    <row r="196" spans="1:29" outlineLevel="2" x14ac:dyDescent="0.2">
      <c r="A196">
        <v>506</v>
      </c>
      <c r="B196">
        <v>2827480</v>
      </c>
      <c r="C196">
        <v>28274801</v>
      </c>
      <c r="D196" t="s">
        <v>2222</v>
      </c>
      <c r="E196" t="s">
        <v>2223</v>
      </c>
      <c r="F196">
        <v>814000</v>
      </c>
      <c r="G196" t="s">
        <v>2384</v>
      </c>
      <c r="H196">
        <v>90534</v>
      </c>
      <c r="I196">
        <v>0</v>
      </c>
      <c r="J196">
        <v>5</v>
      </c>
      <c r="K196">
        <v>7</v>
      </c>
      <c r="L196">
        <v>0</v>
      </c>
      <c r="M196">
        <v>612</v>
      </c>
      <c r="N196">
        <v>52421.57</v>
      </c>
      <c r="O196">
        <v>4215.3999999999996</v>
      </c>
      <c r="P196">
        <v>1498.94</v>
      </c>
      <c r="Q196">
        <v>43448.58</v>
      </c>
      <c r="R196">
        <v>0</v>
      </c>
      <c r="S196">
        <v>4179.2</v>
      </c>
      <c r="T196">
        <v>0</v>
      </c>
      <c r="U196">
        <v>0</v>
      </c>
      <c r="V196">
        <v>1410.85</v>
      </c>
      <c r="W196">
        <v>0</v>
      </c>
      <c r="X196">
        <v>37858.53</v>
      </c>
      <c r="Y196">
        <v>3258.65</v>
      </c>
      <c r="Z196">
        <v>0</v>
      </c>
      <c r="AA196">
        <v>0</v>
      </c>
      <c r="AB196">
        <v>1814000</v>
      </c>
      <c r="AC196" t="s">
        <v>251</v>
      </c>
    </row>
    <row r="197" spans="1:29" outlineLevel="1" x14ac:dyDescent="0.2">
      <c r="B197" s="386" t="s">
        <v>2680</v>
      </c>
      <c r="N197">
        <f>SUBTOTAL(9,N196:N196)</f>
        <v>52421.57</v>
      </c>
    </row>
    <row r="198" spans="1:29" outlineLevel="2" x14ac:dyDescent="0.2">
      <c r="A198">
        <v>506</v>
      </c>
      <c r="B198">
        <v>2827538</v>
      </c>
      <c r="C198">
        <v>28275386</v>
      </c>
      <c r="D198" t="s">
        <v>1709</v>
      </c>
      <c r="E198" t="s">
        <v>2146</v>
      </c>
      <c r="F198">
        <v>812200</v>
      </c>
      <c r="G198" t="s">
        <v>2384</v>
      </c>
      <c r="H198">
        <v>90534</v>
      </c>
      <c r="I198">
        <v>0</v>
      </c>
      <c r="J198">
        <v>5</v>
      </c>
      <c r="K198">
        <v>7</v>
      </c>
      <c r="L198">
        <v>0</v>
      </c>
      <c r="M198">
        <v>664</v>
      </c>
      <c r="N198">
        <v>74033.399999999994</v>
      </c>
      <c r="O198">
        <v>12464.8</v>
      </c>
      <c r="P198">
        <v>2283.41</v>
      </c>
      <c r="Q198">
        <v>55121.29</v>
      </c>
      <c r="R198">
        <v>0</v>
      </c>
      <c r="S198">
        <v>5124.3999999999996</v>
      </c>
      <c r="T198">
        <v>0</v>
      </c>
      <c r="U198">
        <v>0</v>
      </c>
      <c r="V198">
        <v>1523.4</v>
      </c>
      <c r="W198">
        <v>0</v>
      </c>
      <c r="X198">
        <v>48473.49</v>
      </c>
      <c r="Y198">
        <v>4163.8999999999996</v>
      </c>
      <c r="Z198">
        <v>0</v>
      </c>
      <c r="AA198">
        <v>0</v>
      </c>
      <c r="AB198">
        <v>1812200</v>
      </c>
      <c r="AC198" t="s">
        <v>251</v>
      </c>
    </row>
    <row r="199" spans="1:29" outlineLevel="2" x14ac:dyDescent="0.2">
      <c r="A199">
        <v>506</v>
      </c>
      <c r="B199">
        <v>2827538</v>
      </c>
      <c r="C199">
        <v>28275386</v>
      </c>
      <c r="D199" t="s">
        <v>1709</v>
      </c>
      <c r="E199" t="s">
        <v>2146</v>
      </c>
      <c r="F199">
        <v>812300</v>
      </c>
      <c r="G199" t="s">
        <v>2384</v>
      </c>
      <c r="H199">
        <v>90534</v>
      </c>
      <c r="I199">
        <v>0</v>
      </c>
      <c r="J199">
        <v>5</v>
      </c>
      <c r="K199">
        <v>37</v>
      </c>
      <c r="L199">
        <v>0</v>
      </c>
      <c r="M199">
        <v>83</v>
      </c>
      <c r="N199">
        <v>8100.06</v>
      </c>
      <c r="O199">
        <v>1394.85</v>
      </c>
      <c r="P199">
        <v>220.98</v>
      </c>
      <c r="Q199">
        <v>6028.18</v>
      </c>
      <c r="R199">
        <v>0</v>
      </c>
      <c r="S199">
        <v>0</v>
      </c>
      <c r="T199">
        <v>0</v>
      </c>
      <c r="U199">
        <v>0</v>
      </c>
      <c r="V199">
        <v>117.8</v>
      </c>
      <c r="W199">
        <v>0</v>
      </c>
      <c r="X199">
        <v>5910.38</v>
      </c>
      <c r="Y199">
        <v>456.05</v>
      </c>
      <c r="Z199">
        <v>0</v>
      </c>
      <c r="AA199">
        <v>0</v>
      </c>
      <c r="AB199">
        <v>1812300</v>
      </c>
      <c r="AC199" t="s">
        <v>251</v>
      </c>
    </row>
    <row r="200" spans="1:29" outlineLevel="1" x14ac:dyDescent="0.2">
      <c r="B200" s="386" t="s">
        <v>2679</v>
      </c>
      <c r="N200">
        <f>SUBTOTAL(9,N198:N199)</f>
        <v>82133.459999999992</v>
      </c>
    </row>
    <row r="201" spans="1:29" outlineLevel="2" x14ac:dyDescent="0.2">
      <c r="A201">
        <v>506</v>
      </c>
      <c r="B201">
        <v>2827909</v>
      </c>
      <c r="C201">
        <v>28279099</v>
      </c>
      <c r="D201" t="s">
        <v>1419</v>
      </c>
      <c r="E201" t="s">
        <v>2277</v>
      </c>
      <c r="F201">
        <v>742200</v>
      </c>
      <c r="G201" t="s">
        <v>2384</v>
      </c>
      <c r="H201">
        <v>90534</v>
      </c>
      <c r="I201">
        <v>0</v>
      </c>
      <c r="J201">
        <v>5</v>
      </c>
      <c r="K201">
        <v>10</v>
      </c>
      <c r="L201">
        <v>0</v>
      </c>
      <c r="M201">
        <v>900</v>
      </c>
      <c r="N201">
        <v>160697.38</v>
      </c>
      <c r="O201">
        <v>10351.6</v>
      </c>
      <c r="P201">
        <v>10782.94</v>
      </c>
      <c r="Q201">
        <v>126664.34</v>
      </c>
      <c r="R201">
        <v>30087</v>
      </c>
      <c r="S201">
        <v>6772</v>
      </c>
      <c r="T201">
        <v>0</v>
      </c>
      <c r="U201">
        <v>0</v>
      </c>
      <c r="V201">
        <v>437.4</v>
      </c>
      <c r="W201">
        <v>19680.75</v>
      </c>
      <c r="X201">
        <v>69687.19</v>
      </c>
      <c r="Y201">
        <v>12898.5</v>
      </c>
      <c r="Z201">
        <v>0</v>
      </c>
      <c r="AA201">
        <v>0</v>
      </c>
      <c r="AB201">
        <v>1742200</v>
      </c>
      <c r="AC201" t="s">
        <v>251</v>
      </c>
    </row>
    <row r="202" spans="1:29" outlineLevel="1" x14ac:dyDescent="0.2">
      <c r="B202" s="386" t="s">
        <v>2678</v>
      </c>
      <c r="N202">
        <f>SUBTOTAL(9,N201:N201)</f>
        <v>160697.38</v>
      </c>
    </row>
    <row r="203" spans="1:29" outlineLevel="2" x14ac:dyDescent="0.2">
      <c r="A203">
        <v>506</v>
      </c>
      <c r="B203">
        <v>2827928</v>
      </c>
      <c r="C203">
        <v>28279289</v>
      </c>
      <c r="D203" t="s">
        <v>2280</v>
      </c>
      <c r="E203" t="s">
        <v>2281</v>
      </c>
      <c r="F203">
        <v>811000</v>
      </c>
      <c r="G203" t="s">
        <v>2384</v>
      </c>
      <c r="H203">
        <v>90534</v>
      </c>
      <c r="I203">
        <v>0</v>
      </c>
      <c r="J203">
        <v>3</v>
      </c>
      <c r="K203">
        <v>2</v>
      </c>
      <c r="L203">
        <v>0</v>
      </c>
      <c r="M203">
        <v>900</v>
      </c>
      <c r="N203">
        <v>132679.60999999999</v>
      </c>
      <c r="O203">
        <v>10455.9</v>
      </c>
      <c r="P203">
        <v>6055.01</v>
      </c>
      <c r="Q203">
        <v>107998.2</v>
      </c>
      <c r="R203">
        <v>0</v>
      </c>
      <c r="S203">
        <v>6598</v>
      </c>
      <c r="T203">
        <v>675.15</v>
      </c>
      <c r="U203">
        <v>2247.5500000000002</v>
      </c>
      <c r="V203">
        <v>1913.1</v>
      </c>
      <c r="W203">
        <v>0</v>
      </c>
      <c r="X203">
        <v>96564.4</v>
      </c>
      <c r="Y203">
        <v>8170.5</v>
      </c>
      <c r="Z203">
        <v>0</v>
      </c>
      <c r="AA203">
        <v>0</v>
      </c>
      <c r="AB203">
        <v>1811000</v>
      </c>
      <c r="AC203" t="s">
        <v>251</v>
      </c>
    </row>
    <row r="204" spans="1:29" outlineLevel="1" x14ac:dyDescent="0.2">
      <c r="B204" s="386" t="s">
        <v>2677</v>
      </c>
      <c r="N204">
        <f>SUBTOTAL(9,N203:N203)</f>
        <v>132679.60999999999</v>
      </c>
    </row>
    <row r="205" spans="1:29" outlineLevel="2" x14ac:dyDescent="0.2">
      <c r="A205">
        <v>506</v>
      </c>
      <c r="B205">
        <v>2833796</v>
      </c>
      <c r="C205">
        <v>28337962</v>
      </c>
      <c r="D205" t="s">
        <v>2176</v>
      </c>
      <c r="E205" t="s">
        <v>2177</v>
      </c>
      <c r="F205">
        <v>813202</v>
      </c>
      <c r="G205" t="s">
        <v>2384</v>
      </c>
      <c r="H205">
        <v>90534</v>
      </c>
      <c r="I205">
        <v>0</v>
      </c>
      <c r="J205">
        <v>5</v>
      </c>
      <c r="K205">
        <v>4</v>
      </c>
      <c r="L205">
        <v>0</v>
      </c>
      <c r="M205">
        <v>450</v>
      </c>
      <c r="N205">
        <v>48686.66</v>
      </c>
      <c r="O205">
        <v>7289.35</v>
      </c>
      <c r="P205">
        <v>1287.24</v>
      </c>
      <c r="Q205">
        <v>37311.620000000003</v>
      </c>
      <c r="R205">
        <v>0</v>
      </c>
      <c r="S205">
        <v>3195.6</v>
      </c>
      <c r="T205">
        <v>0</v>
      </c>
      <c r="U205">
        <v>0</v>
      </c>
      <c r="V205">
        <v>1479.85</v>
      </c>
      <c r="W205">
        <v>0</v>
      </c>
      <c r="X205">
        <v>32636.17</v>
      </c>
      <c r="Y205">
        <v>2798.45</v>
      </c>
      <c r="Z205">
        <v>0</v>
      </c>
      <c r="AA205">
        <v>0</v>
      </c>
      <c r="AB205">
        <v>1813202</v>
      </c>
      <c r="AC205" t="s">
        <v>251</v>
      </c>
    </row>
    <row r="206" spans="1:29" outlineLevel="1" x14ac:dyDescent="0.2">
      <c r="B206" s="386" t="s">
        <v>2676</v>
      </c>
      <c r="N206">
        <f>SUBTOTAL(9,N205:N205)</f>
        <v>48686.66</v>
      </c>
    </row>
    <row r="207" spans="1:29" outlineLevel="2" x14ac:dyDescent="0.2">
      <c r="A207">
        <v>506</v>
      </c>
      <c r="B207">
        <v>2910356</v>
      </c>
      <c r="C207">
        <v>29103561</v>
      </c>
      <c r="D207" t="s">
        <v>2157</v>
      </c>
      <c r="E207" t="s">
        <v>2246</v>
      </c>
      <c r="F207">
        <v>613000</v>
      </c>
      <c r="G207" t="s">
        <v>2384</v>
      </c>
      <c r="H207">
        <v>90534</v>
      </c>
      <c r="I207">
        <v>0</v>
      </c>
      <c r="J207">
        <v>5</v>
      </c>
      <c r="K207">
        <v>7</v>
      </c>
      <c r="L207">
        <v>0</v>
      </c>
      <c r="M207">
        <v>900</v>
      </c>
      <c r="N207">
        <v>76589.77</v>
      </c>
      <c r="O207">
        <v>10970.15</v>
      </c>
      <c r="P207">
        <v>2287.48</v>
      </c>
      <c r="Q207">
        <v>58913.54</v>
      </c>
      <c r="R207">
        <v>0</v>
      </c>
      <c r="S207">
        <v>5924</v>
      </c>
      <c r="T207">
        <v>0</v>
      </c>
      <c r="U207">
        <v>0</v>
      </c>
      <c r="V207">
        <v>2228.5500000000002</v>
      </c>
      <c r="W207">
        <v>0</v>
      </c>
      <c r="X207">
        <v>50760.99</v>
      </c>
      <c r="Y207">
        <v>4418.6000000000004</v>
      </c>
      <c r="Z207">
        <v>0</v>
      </c>
      <c r="AA207">
        <v>0</v>
      </c>
      <c r="AB207">
        <v>1613000</v>
      </c>
      <c r="AC207" t="s">
        <v>251</v>
      </c>
    </row>
    <row r="208" spans="1:29" outlineLevel="1" x14ac:dyDescent="0.2">
      <c r="B208" s="386" t="s">
        <v>2675</v>
      </c>
      <c r="N208">
        <f>SUBTOTAL(9,N207:N207)</f>
        <v>76589.77</v>
      </c>
    </row>
    <row r="209" spans="1:29" outlineLevel="2" x14ac:dyDescent="0.2">
      <c r="A209">
        <v>506</v>
      </c>
      <c r="B209">
        <v>2910410</v>
      </c>
      <c r="C209">
        <v>29104106</v>
      </c>
      <c r="D209" t="s">
        <v>2207</v>
      </c>
      <c r="E209" t="s">
        <v>2251</v>
      </c>
      <c r="F209">
        <v>731000</v>
      </c>
      <c r="G209" t="s">
        <v>2384</v>
      </c>
      <c r="H209">
        <v>90534</v>
      </c>
      <c r="I209">
        <v>0</v>
      </c>
      <c r="J209">
        <v>5</v>
      </c>
      <c r="K209">
        <v>8</v>
      </c>
      <c r="L209">
        <v>0</v>
      </c>
      <c r="M209">
        <v>900</v>
      </c>
      <c r="N209">
        <v>85086.48</v>
      </c>
      <c r="O209">
        <v>5208.05</v>
      </c>
      <c r="P209">
        <v>3292.44</v>
      </c>
      <c r="Q209">
        <v>71177.990000000005</v>
      </c>
      <c r="R209">
        <v>0</v>
      </c>
      <c r="S209">
        <v>6772</v>
      </c>
      <c r="T209">
        <v>0</v>
      </c>
      <c r="U209">
        <v>0</v>
      </c>
      <c r="V209">
        <v>2218.9</v>
      </c>
      <c r="W209">
        <v>0</v>
      </c>
      <c r="X209">
        <v>62187.09</v>
      </c>
      <c r="Y209">
        <v>5408</v>
      </c>
      <c r="Z209">
        <v>0</v>
      </c>
      <c r="AA209">
        <v>0</v>
      </c>
      <c r="AB209">
        <v>1731000</v>
      </c>
      <c r="AC209" t="s">
        <v>251</v>
      </c>
    </row>
    <row r="210" spans="1:29" outlineLevel="1" x14ac:dyDescent="0.2">
      <c r="B210" s="386" t="s">
        <v>2674</v>
      </c>
      <c r="N210">
        <f>SUBTOTAL(9,N209:N209)</f>
        <v>85086.48</v>
      </c>
    </row>
    <row r="211" spans="1:29" outlineLevel="2" x14ac:dyDescent="0.2">
      <c r="A211">
        <v>506</v>
      </c>
      <c r="B211">
        <v>2921221</v>
      </c>
      <c r="C211">
        <v>29212214</v>
      </c>
      <c r="D211" t="s">
        <v>2112</v>
      </c>
      <c r="E211" t="s">
        <v>2113</v>
      </c>
      <c r="F211">
        <v>812200</v>
      </c>
      <c r="G211" t="s">
        <v>2384</v>
      </c>
      <c r="H211">
        <v>90534</v>
      </c>
      <c r="I211">
        <v>0</v>
      </c>
      <c r="J211">
        <v>5</v>
      </c>
      <c r="K211">
        <v>7</v>
      </c>
      <c r="L211">
        <v>0</v>
      </c>
      <c r="M211">
        <v>747</v>
      </c>
      <c r="N211">
        <v>81453.919999999998</v>
      </c>
      <c r="O211">
        <v>13792.75</v>
      </c>
      <c r="P211">
        <v>2464.9299999999998</v>
      </c>
      <c r="Q211">
        <v>60615.79</v>
      </c>
      <c r="R211">
        <v>0</v>
      </c>
      <c r="S211">
        <v>4772.5</v>
      </c>
      <c r="T211">
        <v>0</v>
      </c>
      <c r="U211">
        <v>0</v>
      </c>
      <c r="V211">
        <v>1389.45</v>
      </c>
      <c r="W211">
        <v>0</v>
      </c>
      <c r="X211">
        <v>54453.84</v>
      </c>
      <c r="Y211">
        <v>4580.45</v>
      </c>
      <c r="Z211">
        <v>0</v>
      </c>
      <c r="AA211">
        <v>0</v>
      </c>
      <c r="AB211">
        <v>1812200</v>
      </c>
      <c r="AC211" t="s">
        <v>251</v>
      </c>
    </row>
    <row r="212" spans="1:29" outlineLevel="1" x14ac:dyDescent="0.2">
      <c r="B212" s="386" t="s">
        <v>2673</v>
      </c>
      <c r="N212">
        <f>SUBTOTAL(9,N211:N211)</f>
        <v>81453.919999999998</v>
      </c>
    </row>
    <row r="213" spans="1:29" outlineLevel="2" x14ac:dyDescent="0.2">
      <c r="A213">
        <v>506</v>
      </c>
      <c r="B213">
        <v>2977830</v>
      </c>
      <c r="C213">
        <v>29778305</v>
      </c>
      <c r="D213" t="s">
        <v>1329</v>
      </c>
      <c r="E213" t="s">
        <v>2178</v>
      </c>
      <c r="F213">
        <v>813202</v>
      </c>
      <c r="G213" t="s">
        <v>2384</v>
      </c>
      <c r="H213">
        <v>90534</v>
      </c>
      <c r="I213">
        <v>0</v>
      </c>
      <c r="J213">
        <v>5</v>
      </c>
      <c r="K213">
        <v>4</v>
      </c>
      <c r="L213">
        <v>0</v>
      </c>
      <c r="M213">
        <v>450</v>
      </c>
      <c r="N213">
        <v>52577.08</v>
      </c>
      <c r="O213">
        <v>11536.85</v>
      </c>
      <c r="P213">
        <v>1276.1600000000001</v>
      </c>
      <c r="Q213">
        <v>36989.769999999997</v>
      </c>
      <c r="R213">
        <v>0</v>
      </c>
      <c r="S213">
        <v>3195.6</v>
      </c>
      <c r="T213">
        <v>0</v>
      </c>
      <c r="U213">
        <v>0</v>
      </c>
      <c r="V213">
        <v>1727.75</v>
      </c>
      <c r="W213">
        <v>0</v>
      </c>
      <c r="X213">
        <v>32066.42</v>
      </c>
      <c r="Y213">
        <v>2774.3</v>
      </c>
      <c r="Z213">
        <v>0</v>
      </c>
      <c r="AA213">
        <v>0</v>
      </c>
      <c r="AB213">
        <v>1813202</v>
      </c>
      <c r="AC213" t="s">
        <v>251</v>
      </c>
    </row>
    <row r="214" spans="1:29" outlineLevel="1" x14ac:dyDescent="0.2">
      <c r="B214" s="386" t="s">
        <v>2672</v>
      </c>
      <c r="N214">
        <f>SUBTOTAL(9,N213:N213)</f>
        <v>52577.08</v>
      </c>
    </row>
    <row r="215" spans="1:29" outlineLevel="2" x14ac:dyDescent="0.2">
      <c r="A215">
        <v>506</v>
      </c>
      <c r="B215">
        <v>2996822</v>
      </c>
      <c r="C215">
        <v>29968229</v>
      </c>
      <c r="D215" t="s">
        <v>2123</v>
      </c>
      <c r="E215" t="s">
        <v>2147</v>
      </c>
      <c r="F215">
        <v>812200</v>
      </c>
      <c r="G215" t="s">
        <v>2384</v>
      </c>
      <c r="H215">
        <v>90534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2705.99</v>
      </c>
      <c r="O215">
        <v>283.05</v>
      </c>
      <c r="P215">
        <v>75.34</v>
      </c>
      <c r="Q215">
        <v>2183.8000000000002</v>
      </c>
      <c r="R215">
        <v>0</v>
      </c>
      <c r="S215">
        <v>0</v>
      </c>
      <c r="T215">
        <v>0</v>
      </c>
      <c r="U215">
        <v>0</v>
      </c>
      <c r="V215">
        <v>87.15</v>
      </c>
      <c r="W215">
        <v>0</v>
      </c>
      <c r="X215">
        <v>2096.65</v>
      </c>
      <c r="Y215">
        <v>163.80000000000001</v>
      </c>
      <c r="Z215">
        <v>0</v>
      </c>
      <c r="AA215">
        <v>0</v>
      </c>
      <c r="AB215">
        <v>1812200</v>
      </c>
      <c r="AC215" t="s">
        <v>251</v>
      </c>
    </row>
    <row r="216" spans="1:29" outlineLevel="2" x14ac:dyDescent="0.2">
      <c r="A216">
        <v>506</v>
      </c>
      <c r="B216">
        <v>2996822</v>
      </c>
      <c r="C216">
        <v>29968229</v>
      </c>
      <c r="D216" t="s">
        <v>2123</v>
      </c>
      <c r="E216" t="s">
        <v>2147</v>
      </c>
      <c r="F216">
        <v>813300</v>
      </c>
      <c r="G216" t="s">
        <v>2384</v>
      </c>
      <c r="H216">
        <v>90534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32409.8</v>
      </c>
      <c r="O216">
        <v>3345.75</v>
      </c>
      <c r="P216">
        <v>903.75</v>
      </c>
      <c r="Q216">
        <v>26195.599999999999</v>
      </c>
      <c r="R216">
        <v>0</v>
      </c>
      <c r="S216">
        <v>2663</v>
      </c>
      <c r="T216">
        <v>0</v>
      </c>
      <c r="U216">
        <v>0</v>
      </c>
      <c r="V216">
        <v>1132.8</v>
      </c>
      <c r="W216">
        <v>0</v>
      </c>
      <c r="X216">
        <v>22399.8</v>
      </c>
      <c r="Y216">
        <v>1964.7</v>
      </c>
      <c r="Z216">
        <v>0</v>
      </c>
      <c r="AA216">
        <v>0</v>
      </c>
      <c r="AB216">
        <v>1813300</v>
      </c>
      <c r="AC216" t="s">
        <v>251</v>
      </c>
    </row>
    <row r="217" spans="1:29" outlineLevel="1" x14ac:dyDescent="0.2">
      <c r="B217" s="386" t="s">
        <v>2671</v>
      </c>
      <c r="N217">
        <f>SUBTOTAL(9,N215:N216)</f>
        <v>35115.79</v>
      </c>
    </row>
    <row r="218" spans="1:29" outlineLevel="2" x14ac:dyDescent="0.2">
      <c r="A218">
        <v>506</v>
      </c>
      <c r="B218">
        <v>2996869</v>
      </c>
      <c r="C218">
        <v>29968690</v>
      </c>
      <c r="D218" t="s">
        <v>1709</v>
      </c>
      <c r="E218" t="s">
        <v>2168</v>
      </c>
      <c r="F218">
        <v>813201</v>
      </c>
      <c r="G218" t="s">
        <v>2384</v>
      </c>
      <c r="H218">
        <v>90534</v>
      </c>
      <c r="I218">
        <v>0</v>
      </c>
      <c r="J218">
        <v>5</v>
      </c>
      <c r="K218">
        <v>7</v>
      </c>
      <c r="L218">
        <v>0</v>
      </c>
      <c r="M218">
        <v>720</v>
      </c>
      <c r="N218">
        <v>65607.27</v>
      </c>
      <c r="O218">
        <v>9778</v>
      </c>
      <c r="P218">
        <v>1754.27</v>
      </c>
      <c r="Q218">
        <v>50302.3</v>
      </c>
      <c r="R218">
        <v>1653.3</v>
      </c>
      <c r="S218">
        <v>4543.7</v>
      </c>
      <c r="T218">
        <v>3830.2</v>
      </c>
      <c r="U218">
        <v>0</v>
      </c>
      <c r="V218">
        <v>1783</v>
      </c>
      <c r="W218">
        <v>0</v>
      </c>
      <c r="X218">
        <v>38492.1</v>
      </c>
      <c r="Y218">
        <v>3772.7</v>
      </c>
      <c r="Z218">
        <v>0</v>
      </c>
      <c r="AA218">
        <v>0</v>
      </c>
      <c r="AB218">
        <v>1813201</v>
      </c>
      <c r="AC218" t="s">
        <v>251</v>
      </c>
    </row>
    <row r="219" spans="1:29" outlineLevel="1" x14ac:dyDescent="0.2">
      <c r="B219" s="386" t="s">
        <v>2670</v>
      </c>
      <c r="N219">
        <f>SUBTOTAL(9,N218:N218)</f>
        <v>65607.27</v>
      </c>
    </row>
    <row r="220" spans="1:29" outlineLevel="2" x14ac:dyDescent="0.2">
      <c r="A220">
        <v>506</v>
      </c>
      <c r="B220">
        <v>2996880</v>
      </c>
      <c r="C220">
        <v>29968807</v>
      </c>
      <c r="D220" t="s">
        <v>2114</v>
      </c>
      <c r="E220" t="s">
        <v>2115</v>
      </c>
      <c r="F220">
        <v>812200</v>
      </c>
      <c r="G220" t="s">
        <v>2384</v>
      </c>
      <c r="H220">
        <v>90534</v>
      </c>
      <c r="I220">
        <v>0</v>
      </c>
      <c r="J220">
        <v>5</v>
      </c>
      <c r="K220">
        <v>6</v>
      </c>
      <c r="L220">
        <v>0</v>
      </c>
      <c r="M220">
        <v>747</v>
      </c>
      <c r="N220">
        <v>68185.399999999994</v>
      </c>
      <c r="O220">
        <v>11539.55</v>
      </c>
      <c r="P220">
        <v>1793.01</v>
      </c>
      <c r="Q220">
        <v>51000.29</v>
      </c>
      <c r="R220">
        <v>0</v>
      </c>
      <c r="S220">
        <v>4420.6000000000004</v>
      </c>
      <c r="T220">
        <v>0</v>
      </c>
      <c r="U220">
        <v>0</v>
      </c>
      <c r="V220">
        <v>1353.65</v>
      </c>
      <c r="W220">
        <v>0</v>
      </c>
      <c r="X220">
        <v>45226.04</v>
      </c>
      <c r="Y220">
        <v>3852.55</v>
      </c>
      <c r="Z220">
        <v>0</v>
      </c>
      <c r="AA220">
        <v>0</v>
      </c>
      <c r="AB220">
        <v>1812200</v>
      </c>
      <c r="AC220" t="s">
        <v>251</v>
      </c>
    </row>
    <row r="221" spans="1:29" outlineLevel="1" x14ac:dyDescent="0.2">
      <c r="B221" s="386" t="s">
        <v>2669</v>
      </c>
      <c r="N221">
        <f>SUBTOTAL(9,N220:N220)</f>
        <v>68185.399999999994</v>
      </c>
    </row>
    <row r="222" spans="1:29" outlineLevel="2" x14ac:dyDescent="0.2">
      <c r="A222">
        <v>506</v>
      </c>
      <c r="B222">
        <v>2999412</v>
      </c>
      <c r="C222">
        <v>29994126</v>
      </c>
      <c r="D222" t="s">
        <v>2155</v>
      </c>
      <c r="E222" t="s">
        <v>2156</v>
      </c>
      <c r="F222">
        <v>812502</v>
      </c>
      <c r="G222" t="s">
        <v>2384</v>
      </c>
      <c r="H222">
        <v>90534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17021.240000000002</v>
      </c>
      <c r="O222">
        <v>1451.55</v>
      </c>
      <c r="P222">
        <v>484.14</v>
      </c>
      <c r="Q222">
        <v>14033</v>
      </c>
      <c r="R222">
        <v>0</v>
      </c>
      <c r="S222">
        <v>1679</v>
      </c>
      <c r="T222">
        <v>0</v>
      </c>
      <c r="U222">
        <v>0</v>
      </c>
      <c r="V222">
        <v>1181.2</v>
      </c>
      <c r="W222">
        <v>0</v>
      </c>
      <c r="X222">
        <v>11172.8</v>
      </c>
      <c r="Y222">
        <v>1052.55</v>
      </c>
      <c r="Z222">
        <v>0</v>
      </c>
      <c r="AA222">
        <v>0</v>
      </c>
      <c r="AB222">
        <v>1812502</v>
      </c>
      <c r="AC222" t="s">
        <v>251</v>
      </c>
    </row>
    <row r="223" spans="1:29" outlineLevel="1" x14ac:dyDescent="0.2">
      <c r="B223" s="386" t="s">
        <v>2668</v>
      </c>
      <c r="N223">
        <f>SUBTOTAL(9,N222:N222)</f>
        <v>17021.240000000002</v>
      </c>
    </row>
    <row r="224" spans="1:29" outlineLevel="2" x14ac:dyDescent="0.2">
      <c r="A224">
        <v>506</v>
      </c>
      <c r="B224">
        <v>3117319</v>
      </c>
      <c r="C224">
        <v>31173198</v>
      </c>
      <c r="D224" t="s">
        <v>2131</v>
      </c>
      <c r="E224" t="s">
        <v>2278</v>
      </c>
      <c r="F224">
        <v>742200</v>
      </c>
      <c r="G224" t="s">
        <v>2384</v>
      </c>
      <c r="H224">
        <v>90534</v>
      </c>
      <c r="I224">
        <v>0</v>
      </c>
      <c r="J224">
        <v>5</v>
      </c>
      <c r="K224">
        <v>4</v>
      </c>
      <c r="L224">
        <v>0</v>
      </c>
      <c r="M224">
        <v>900</v>
      </c>
      <c r="N224">
        <v>105746.57</v>
      </c>
      <c r="O224">
        <v>15098.55</v>
      </c>
      <c r="P224">
        <v>4000.23</v>
      </c>
      <c r="Q224">
        <v>80532.039999999994</v>
      </c>
      <c r="R224">
        <v>0</v>
      </c>
      <c r="S224">
        <v>5326</v>
      </c>
      <c r="T224">
        <v>0</v>
      </c>
      <c r="U224">
        <v>4592.95</v>
      </c>
      <c r="V224">
        <v>2156.6999999999998</v>
      </c>
      <c r="W224">
        <v>16816.599999999999</v>
      </c>
      <c r="X224">
        <v>51639.79</v>
      </c>
      <c r="Y224">
        <v>6115.75</v>
      </c>
      <c r="Z224">
        <v>0</v>
      </c>
      <c r="AA224">
        <v>0</v>
      </c>
      <c r="AB224">
        <v>1742200</v>
      </c>
      <c r="AC224" t="s">
        <v>251</v>
      </c>
    </row>
    <row r="225" spans="1:29" outlineLevel="1" x14ac:dyDescent="0.2">
      <c r="B225" s="386" t="s">
        <v>2667</v>
      </c>
      <c r="N225">
        <f>SUBTOTAL(9,N224:N224)</f>
        <v>105746.57</v>
      </c>
    </row>
    <row r="226" spans="1:29" outlineLevel="2" x14ac:dyDescent="0.2">
      <c r="A226">
        <v>506</v>
      </c>
      <c r="B226">
        <v>3117724</v>
      </c>
      <c r="C226">
        <v>31177249</v>
      </c>
      <c r="D226" t="s">
        <v>2157</v>
      </c>
      <c r="E226" t="s">
        <v>2120</v>
      </c>
      <c r="F226">
        <v>812502</v>
      </c>
      <c r="G226" t="s">
        <v>2384</v>
      </c>
      <c r="H226">
        <v>90534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30693.83</v>
      </c>
      <c r="O226">
        <v>3104.65</v>
      </c>
      <c r="P226">
        <v>857.88</v>
      </c>
      <c r="Q226">
        <v>24866.35</v>
      </c>
      <c r="R226">
        <v>0</v>
      </c>
      <c r="S226">
        <v>1757.6</v>
      </c>
      <c r="T226">
        <v>0</v>
      </c>
      <c r="U226">
        <v>0</v>
      </c>
      <c r="V226">
        <v>1558.75</v>
      </c>
      <c r="W226">
        <v>0</v>
      </c>
      <c r="X226">
        <v>21550</v>
      </c>
      <c r="Y226">
        <v>1864.95</v>
      </c>
      <c r="Z226">
        <v>0</v>
      </c>
      <c r="AA226">
        <v>0</v>
      </c>
      <c r="AB226">
        <v>1812502</v>
      </c>
      <c r="AC226" t="s">
        <v>251</v>
      </c>
    </row>
    <row r="227" spans="1:29" outlineLevel="1" x14ac:dyDescent="0.2">
      <c r="B227" s="386" t="s">
        <v>2666</v>
      </c>
      <c r="N227">
        <f>SUBTOTAL(9,N226:N226)</f>
        <v>30693.83</v>
      </c>
    </row>
    <row r="228" spans="1:29" outlineLevel="2" x14ac:dyDescent="0.2">
      <c r="A228">
        <v>506</v>
      </c>
      <c r="B228">
        <v>3276197</v>
      </c>
      <c r="C228">
        <v>32761975</v>
      </c>
      <c r="D228" t="s">
        <v>1419</v>
      </c>
      <c r="E228" t="s">
        <v>2403</v>
      </c>
      <c r="F228">
        <v>841000</v>
      </c>
      <c r="G228" t="s">
        <v>2384</v>
      </c>
      <c r="H228">
        <v>90534</v>
      </c>
      <c r="I228">
        <v>0</v>
      </c>
      <c r="J228">
        <v>86</v>
      </c>
      <c r="K228">
        <v>2</v>
      </c>
      <c r="L228">
        <v>5</v>
      </c>
      <c r="M228">
        <v>748.3</v>
      </c>
      <c r="N228">
        <v>122600.06</v>
      </c>
      <c r="O228">
        <v>10456.25</v>
      </c>
      <c r="P228">
        <v>5675.73</v>
      </c>
      <c r="Q228">
        <v>98899.83</v>
      </c>
      <c r="R228">
        <v>56</v>
      </c>
      <c r="S228">
        <v>4122.3500000000004</v>
      </c>
      <c r="T228">
        <v>0</v>
      </c>
      <c r="U228">
        <v>5762.55</v>
      </c>
      <c r="V228">
        <v>1651.4</v>
      </c>
      <c r="W228">
        <v>16265.85</v>
      </c>
      <c r="X228">
        <v>71041.679999999993</v>
      </c>
      <c r="Y228">
        <v>7568.25</v>
      </c>
      <c r="Z228">
        <v>0</v>
      </c>
      <c r="AA228">
        <v>0</v>
      </c>
      <c r="AB228">
        <v>1841000</v>
      </c>
      <c r="AC228" t="s">
        <v>251</v>
      </c>
    </row>
    <row r="229" spans="1:29" outlineLevel="1" x14ac:dyDescent="0.2">
      <c r="B229" s="386" t="s">
        <v>2665</v>
      </c>
      <c r="N229">
        <f>SUBTOTAL(9,N228:N228)</f>
        <v>122600.06</v>
      </c>
    </row>
    <row r="230" spans="1:29" outlineLevel="2" x14ac:dyDescent="0.2">
      <c r="A230">
        <v>506</v>
      </c>
      <c r="B230">
        <v>3290212</v>
      </c>
      <c r="C230">
        <v>32902124</v>
      </c>
      <c r="D230" t="s">
        <v>2234</v>
      </c>
      <c r="E230" t="s">
        <v>2235</v>
      </c>
      <c r="F230">
        <v>817300</v>
      </c>
      <c r="G230" t="s">
        <v>2384</v>
      </c>
      <c r="H230">
        <v>90534</v>
      </c>
      <c r="I230">
        <v>0</v>
      </c>
      <c r="J230">
        <v>81</v>
      </c>
      <c r="K230">
        <v>39</v>
      </c>
      <c r="L230">
        <v>0</v>
      </c>
      <c r="M230">
        <v>450</v>
      </c>
      <c r="N230">
        <v>56237.16</v>
      </c>
      <c r="O230">
        <v>8319.7000000000007</v>
      </c>
      <c r="P230">
        <v>1777.15</v>
      </c>
      <c r="Q230">
        <v>42353.96</v>
      </c>
      <c r="R230">
        <v>2349</v>
      </c>
      <c r="S230">
        <v>2962</v>
      </c>
      <c r="T230">
        <v>0</v>
      </c>
      <c r="U230">
        <v>0</v>
      </c>
      <c r="V230">
        <v>1762.25</v>
      </c>
      <c r="W230">
        <v>0</v>
      </c>
      <c r="X230">
        <v>35280.71</v>
      </c>
      <c r="Y230">
        <v>3786.35</v>
      </c>
      <c r="Z230">
        <v>0</v>
      </c>
      <c r="AA230">
        <v>0</v>
      </c>
      <c r="AB230">
        <v>1817300</v>
      </c>
      <c r="AC230" t="s">
        <v>251</v>
      </c>
    </row>
    <row r="231" spans="1:29" outlineLevel="1" x14ac:dyDescent="0.2">
      <c r="B231" s="386" t="s">
        <v>2664</v>
      </c>
      <c r="N231">
        <f>SUBTOTAL(9,N230:N230)</f>
        <v>56237.16</v>
      </c>
    </row>
    <row r="232" spans="1:29" outlineLevel="2" x14ac:dyDescent="0.2">
      <c r="A232">
        <v>506</v>
      </c>
      <c r="B232">
        <v>3292292</v>
      </c>
      <c r="C232">
        <v>32922924</v>
      </c>
      <c r="D232" t="s">
        <v>2138</v>
      </c>
      <c r="E232" t="s">
        <v>2286</v>
      </c>
      <c r="F232">
        <v>812200</v>
      </c>
      <c r="G232" t="s">
        <v>2384</v>
      </c>
      <c r="H232">
        <v>90534</v>
      </c>
      <c r="I232">
        <v>0</v>
      </c>
      <c r="J232">
        <v>5</v>
      </c>
      <c r="K232">
        <v>4</v>
      </c>
      <c r="L232">
        <v>0</v>
      </c>
      <c r="M232">
        <v>664</v>
      </c>
      <c r="N232">
        <v>54316.53</v>
      </c>
      <c r="O232">
        <v>8504.1</v>
      </c>
      <c r="P232">
        <v>1424.54</v>
      </c>
      <c r="Q232">
        <v>41291.040000000001</v>
      </c>
      <c r="R232">
        <v>0</v>
      </c>
      <c r="S232">
        <v>3461.9</v>
      </c>
      <c r="T232">
        <v>0</v>
      </c>
      <c r="U232">
        <v>0</v>
      </c>
      <c r="V232">
        <v>1043.95</v>
      </c>
      <c r="W232">
        <v>0</v>
      </c>
      <c r="X232">
        <v>36785.19</v>
      </c>
      <c r="Y232">
        <v>3096.85</v>
      </c>
      <c r="Z232">
        <v>0</v>
      </c>
      <c r="AA232">
        <v>0</v>
      </c>
      <c r="AB232">
        <v>1812200</v>
      </c>
      <c r="AC232" t="s">
        <v>251</v>
      </c>
    </row>
    <row r="233" spans="1:29" outlineLevel="2" x14ac:dyDescent="0.2">
      <c r="A233">
        <v>506</v>
      </c>
      <c r="B233">
        <v>3292292</v>
      </c>
      <c r="C233">
        <v>32922924</v>
      </c>
      <c r="D233" t="s">
        <v>2138</v>
      </c>
      <c r="E233" t="s">
        <v>2286</v>
      </c>
      <c r="F233">
        <v>812301</v>
      </c>
      <c r="G233" t="s">
        <v>2384</v>
      </c>
      <c r="H233">
        <v>90534</v>
      </c>
      <c r="I233">
        <v>0</v>
      </c>
      <c r="J233">
        <v>5</v>
      </c>
      <c r="K233">
        <v>4</v>
      </c>
      <c r="L233">
        <v>0</v>
      </c>
      <c r="M233">
        <v>83</v>
      </c>
      <c r="N233">
        <v>6235.2</v>
      </c>
      <c r="O233">
        <v>978.55</v>
      </c>
      <c r="P233">
        <v>163.46</v>
      </c>
      <c r="Q233">
        <v>4737.84</v>
      </c>
      <c r="R233">
        <v>0</v>
      </c>
      <c r="S233">
        <v>0</v>
      </c>
      <c r="T233">
        <v>0</v>
      </c>
      <c r="U233">
        <v>0</v>
      </c>
      <c r="V233">
        <v>102.65</v>
      </c>
      <c r="W233">
        <v>0</v>
      </c>
      <c r="X233">
        <v>4635.1899999999996</v>
      </c>
      <c r="Y233">
        <v>355.35</v>
      </c>
      <c r="Z233">
        <v>0</v>
      </c>
      <c r="AA233">
        <v>0</v>
      </c>
      <c r="AB233">
        <v>1812301</v>
      </c>
      <c r="AC233" t="s">
        <v>251</v>
      </c>
    </row>
    <row r="234" spans="1:29" outlineLevel="1" x14ac:dyDescent="0.2">
      <c r="B234" s="386" t="s">
        <v>2663</v>
      </c>
      <c r="N234">
        <f>SUBTOTAL(9,N232:N233)</f>
        <v>60551.729999999996</v>
      </c>
    </row>
    <row r="235" spans="1:29" outlineLevel="2" x14ac:dyDescent="0.2">
      <c r="A235">
        <v>506</v>
      </c>
      <c r="B235">
        <v>3311068</v>
      </c>
      <c r="C235">
        <v>33110685</v>
      </c>
      <c r="D235" t="s">
        <v>2131</v>
      </c>
      <c r="E235" t="s">
        <v>2191</v>
      </c>
      <c r="F235">
        <v>814000</v>
      </c>
      <c r="G235" t="s">
        <v>2384</v>
      </c>
      <c r="H235">
        <v>90534</v>
      </c>
      <c r="I235">
        <v>0</v>
      </c>
      <c r="J235">
        <v>5</v>
      </c>
      <c r="K235">
        <v>7</v>
      </c>
      <c r="L235">
        <v>0</v>
      </c>
      <c r="M235">
        <v>450</v>
      </c>
      <c r="N235">
        <v>37635.57</v>
      </c>
      <c r="O235">
        <v>2989.95</v>
      </c>
      <c r="P235">
        <v>1077.31</v>
      </c>
      <c r="Q235">
        <v>31226.36</v>
      </c>
      <c r="R235">
        <v>0</v>
      </c>
      <c r="S235">
        <v>2875</v>
      </c>
      <c r="T235">
        <v>0</v>
      </c>
      <c r="U235">
        <v>0</v>
      </c>
      <c r="V235">
        <v>1651.65</v>
      </c>
      <c r="W235">
        <v>0</v>
      </c>
      <c r="X235">
        <v>26699.71</v>
      </c>
      <c r="Y235">
        <v>2341.9499999999998</v>
      </c>
      <c r="Z235">
        <v>0</v>
      </c>
      <c r="AA235">
        <v>0</v>
      </c>
      <c r="AB235">
        <v>1814000</v>
      </c>
      <c r="AC235" t="s">
        <v>251</v>
      </c>
    </row>
    <row r="236" spans="1:29" outlineLevel="1" x14ac:dyDescent="0.2">
      <c r="B236" s="386" t="s">
        <v>2662</v>
      </c>
      <c r="N236">
        <f>SUBTOTAL(9,N235:N235)</f>
        <v>37635.57</v>
      </c>
    </row>
    <row r="237" spans="1:29" outlineLevel="2" x14ac:dyDescent="0.2">
      <c r="A237">
        <v>506</v>
      </c>
      <c r="B237">
        <v>3336177</v>
      </c>
      <c r="C237">
        <v>33361775</v>
      </c>
      <c r="D237" t="s">
        <v>2198</v>
      </c>
      <c r="E237" t="s">
        <v>2199</v>
      </c>
      <c r="F237">
        <v>813310</v>
      </c>
      <c r="G237" t="s">
        <v>2384</v>
      </c>
      <c r="H237">
        <v>90534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49148.43</v>
      </c>
      <c r="O237">
        <v>7385.4</v>
      </c>
      <c r="P237">
        <v>1298.6300000000001</v>
      </c>
      <c r="Q237">
        <v>37641.300000000003</v>
      </c>
      <c r="R237">
        <v>0</v>
      </c>
      <c r="S237">
        <v>3515.15</v>
      </c>
      <c r="T237">
        <v>0</v>
      </c>
      <c r="U237">
        <v>0</v>
      </c>
      <c r="V237">
        <v>1355.5</v>
      </c>
      <c r="W237">
        <v>0</v>
      </c>
      <c r="X237">
        <v>32770.65</v>
      </c>
      <c r="Y237">
        <v>2823.1</v>
      </c>
      <c r="Z237">
        <v>0</v>
      </c>
      <c r="AA237">
        <v>0</v>
      </c>
      <c r="AB237">
        <v>1813310</v>
      </c>
      <c r="AC237" t="s">
        <v>251</v>
      </c>
    </row>
    <row r="238" spans="1:29" outlineLevel="1" x14ac:dyDescent="0.2">
      <c r="B238" s="386" t="s">
        <v>2661</v>
      </c>
      <c r="N238">
        <f>SUBTOTAL(9,N237:N237)</f>
        <v>49148.43</v>
      </c>
    </row>
    <row r="239" spans="1:29" outlineLevel="2" x14ac:dyDescent="0.2">
      <c r="A239">
        <v>506</v>
      </c>
      <c r="B239">
        <v>3336229</v>
      </c>
      <c r="C239">
        <v>33362294</v>
      </c>
      <c r="D239" t="s">
        <v>2205</v>
      </c>
      <c r="E239" t="s">
        <v>2206</v>
      </c>
      <c r="F239">
        <v>813320</v>
      </c>
      <c r="G239" t="s">
        <v>2384</v>
      </c>
      <c r="H239">
        <v>90534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52236.23</v>
      </c>
      <c r="O239">
        <v>5345.8</v>
      </c>
      <c r="P239">
        <v>1458.08</v>
      </c>
      <c r="Q239">
        <v>42262.6</v>
      </c>
      <c r="R239">
        <v>0</v>
      </c>
      <c r="S239">
        <v>0</v>
      </c>
      <c r="T239">
        <v>0</v>
      </c>
      <c r="U239">
        <v>0</v>
      </c>
      <c r="V239">
        <v>2664.6</v>
      </c>
      <c r="W239">
        <v>0</v>
      </c>
      <c r="X239">
        <v>39598</v>
      </c>
      <c r="Y239">
        <v>3169.75</v>
      </c>
      <c r="Z239">
        <v>0</v>
      </c>
      <c r="AA239">
        <v>0</v>
      </c>
      <c r="AB239">
        <v>1813320</v>
      </c>
      <c r="AC239" t="s">
        <v>251</v>
      </c>
    </row>
    <row r="240" spans="1:29" outlineLevel="1" x14ac:dyDescent="0.2">
      <c r="B240" s="386" t="s">
        <v>2660</v>
      </c>
      <c r="N240">
        <f>SUBTOTAL(9,N239:N239)</f>
        <v>52236.23</v>
      </c>
    </row>
    <row r="241" spans="1:29" outlineLevel="2" x14ac:dyDescent="0.2">
      <c r="A241">
        <v>506</v>
      </c>
      <c r="B241">
        <v>3360162</v>
      </c>
      <c r="C241">
        <v>33601626</v>
      </c>
      <c r="D241" t="s">
        <v>2127</v>
      </c>
      <c r="E241" t="s">
        <v>2128</v>
      </c>
      <c r="F241">
        <v>812201</v>
      </c>
      <c r="G241" t="s">
        <v>2384</v>
      </c>
      <c r="H241">
        <v>90534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23523.75</v>
      </c>
      <c r="O241">
        <v>2227.6</v>
      </c>
      <c r="P241">
        <v>662.2</v>
      </c>
      <c r="Q241">
        <v>19194.400000000001</v>
      </c>
      <c r="R241">
        <v>0</v>
      </c>
      <c r="S241">
        <v>1970.65</v>
      </c>
      <c r="T241">
        <v>0</v>
      </c>
      <c r="U241">
        <v>0</v>
      </c>
      <c r="V241">
        <v>1035.95</v>
      </c>
      <c r="W241">
        <v>0</v>
      </c>
      <c r="X241">
        <v>16187.8</v>
      </c>
      <c r="Y241">
        <v>1439.55</v>
      </c>
      <c r="Z241">
        <v>0</v>
      </c>
      <c r="AA241">
        <v>0</v>
      </c>
      <c r="AB241">
        <v>1812201</v>
      </c>
      <c r="AC241" t="s">
        <v>251</v>
      </c>
    </row>
    <row r="242" spans="1:29" outlineLevel="1" x14ac:dyDescent="0.2">
      <c r="B242" s="386" t="s">
        <v>2659</v>
      </c>
      <c r="N242">
        <f>SUBTOTAL(9,N241:N241)</f>
        <v>23523.75</v>
      </c>
    </row>
    <row r="243" spans="1:29" outlineLevel="2" x14ac:dyDescent="0.2">
      <c r="A243">
        <v>506</v>
      </c>
      <c r="B243">
        <v>3408301</v>
      </c>
      <c r="C243">
        <v>34083014</v>
      </c>
      <c r="D243" t="s">
        <v>2262</v>
      </c>
      <c r="E243" t="s">
        <v>2223</v>
      </c>
      <c r="F243">
        <v>621000</v>
      </c>
      <c r="G243" t="s">
        <v>2384</v>
      </c>
      <c r="H243">
        <v>90534</v>
      </c>
      <c r="I243">
        <v>0</v>
      </c>
      <c r="J243">
        <v>39</v>
      </c>
      <c r="K243">
        <v>3</v>
      </c>
      <c r="L243">
        <v>0</v>
      </c>
      <c r="M243">
        <v>675</v>
      </c>
      <c r="N243">
        <v>235938.94</v>
      </c>
      <c r="O243">
        <v>32111</v>
      </c>
      <c r="P243">
        <v>11377.19</v>
      </c>
      <c r="Q243">
        <v>178958.1</v>
      </c>
      <c r="R243">
        <v>3590.1</v>
      </c>
      <c r="S243">
        <v>4419.3</v>
      </c>
      <c r="T243">
        <v>0</v>
      </c>
      <c r="U243">
        <v>25644.1</v>
      </c>
      <c r="V243">
        <v>10514.3</v>
      </c>
      <c r="W243">
        <v>0</v>
      </c>
      <c r="X243">
        <v>134790.29999999999</v>
      </c>
      <c r="Y243">
        <v>13492.65</v>
      </c>
      <c r="Z243">
        <v>0</v>
      </c>
      <c r="AA243">
        <v>0</v>
      </c>
      <c r="AB243">
        <v>1621000</v>
      </c>
      <c r="AC243" t="s">
        <v>251</v>
      </c>
    </row>
    <row r="244" spans="1:29" outlineLevel="1" x14ac:dyDescent="0.2">
      <c r="B244" s="386" t="s">
        <v>2658</v>
      </c>
      <c r="N244">
        <f>SUBTOTAL(9,N243:N243)</f>
        <v>235938.94</v>
      </c>
    </row>
    <row r="245" spans="1:29" outlineLevel="2" x14ac:dyDescent="0.2">
      <c r="A245">
        <v>506</v>
      </c>
      <c r="B245">
        <v>3408409</v>
      </c>
      <c r="C245">
        <v>34084095</v>
      </c>
      <c r="D245" t="s">
        <v>2119</v>
      </c>
      <c r="E245" t="s">
        <v>2130</v>
      </c>
      <c r="F245">
        <v>813320</v>
      </c>
      <c r="G245" t="s">
        <v>2384</v>
      </c>
      <c r="H245">
        <v>90534</v>
      </c>
      <c r="I245">
        <v>1</v>
      </c>
      <c r="J245">
        <v>0</v>
      </c>
      <c r="K245">
        <v>0</v>
      </c>
      <c r="L245">
        <v>0</v>
      </c>
      <c r="M245">
        <v>0</v>
      </c>
      <c r="N245">
        <v>43925.279999999999</v>
      </c>
      <c r="O245">
        <v>5830.75</v>
      </c>
      <c r="P245">
        <v>1191.1300000000001</v>
      </c>
      <c r="Q245">
        <v>34328.75</v>
      </c>
      <c r="R245">
        <v>0</v>
      </c>
      <c r="S245">
        <v>3674.95</v>
      </c>
      <c r="T245">
        <v>0</v>
      </c>
      <c r="U245">
        <v>0</v>
      </c>
      <c r="V245">
        <v>2537</v>
      </c>
      <c r="W245">
        <v>0</v>
      </c>
      <c r="X245">
        <v>28116.799999999999</v>
      </c>
      <c r="Y245">
        <v>2574.65</v>
      </c>
      <c r="Z245">
        <v>0</v>
      </c>
      <c r="AA245">
        <v>0</v>
      </c>
      <c r="AB245">
        <v>1813320</v>
      </c>
      <c r="AC245" t="s">
        <v>251</v>
      </c>
    </row>
    <row r="246" spans="1:29" outlineLevel="1" x14ac:dyDescent="0.2">
      <c r="B246" s="386" t="s">
        <v>2657</v>
      </c>
      <c r="N246">
        <f>SUBTOTAL(9,N245:N245)</f>
        <v>43925.279999999999</v>
      </c>
    </row>
    <row r="247" spans="1:29" outlineLevel="2" x14ac:dyDescent="0.2">
      <c r="A247">
        <v>506</v>
      </c>
      <c r="B247">
        <v>3408418</v>
      </c>
      <c r="C247">
        <v>34084186</v>
      </c>
      <c r="D247" t="s">
        <v>1390</v>
      </c>
      <c r="E247" t="s">
        <v>2194</v>
      </c>
      <c r="F247">
        <v>813300</v>
      </c>
      <c r="G247" t="s">
        <v>2384</v>
      </c>
      <c r="H247">
        <v>90534</v>
      </c>
      <c r="I247">
        <v>1</v>
      </c>
      <c r="J247">
        <v>0</v>
      </c>
      <c r="K247">
        <v>0</v>
      </c>
      <c r="L247">
        <v>0</v>
      </c>
      <c r="M247">
        <v>0</v>
      </c>
      <c r="N247">
        <v>27157.83</v>
      </c>
      <c r="O247">
        <v>4057.35</v>
      </c>
      <c r="P247">
        <v>718.33</v>
      </c>
      <c r="Q247">
        <v>20820.7</v>
      </c>
      <c r="R247">
        <v>0</v>
      </c>
      <c r="S247">
        <v>2609.75</v>
      </c>
      <c r="T247">
        <v>0</v>
      </c>
      <c r="U247">
        <v>0</v>
      </c>
      <c r="V247">
        <v>852</v>
      </c>
      <c r="W247">
        <v>0</v>
      </c>
      <c r="X247">
        <v>17358.95</v>
      </c>
      <c r="Y247">
        <v>1561.45</v>
      </c>
      <c r="Z247">
        <v>0</v>
      </c>
      <c r="AA247">
        <v>0</v>
      </c>
      <c r="AB247">
        <v>1813300</v>
      </c>
      <c r="AC247" t="s">
        <v>251</v>
      </c>
    </row>
    <row r="248" spans="1:29" outlineLevel="1" x14ac:dyDescent="0.2">
      <c r="B248" s="386" t="s">
        <v>2656</v>
      </c>
      <c r="N248">
        <f>SUBTOTAL(9,N247:N247)</f>
        <v>27157.83</v>
      </c>
    </row>
    <row r="249" spans="1:29" outlineLevel="2" x14ac:dyDescent="0.2">
      <c r="A249">
        <v>506</v>
      </c>
      <c r="B249">
        <v>3416090</v>
      </c>
      <c r="C249">
        <v>34160903</v>
      </c>
      <c r="D249" t="s">
        <v>2192</v>
      </c>
      <c r="E249" t="s">
        <v>2273</v>
      </c>
      <c r="F249">
        <v>721000</v>
      </c>
      <c r="G249" t="s">
        <v>2384</v>
      </c>
      <c r="H249">
        <v>90534</v>
      </c>
      <c r="I249">
        <v>0</v>
      </c>
      <c r="J249">
        <v>5</v>
      </c>
      <c r="K249">
        <v>8</v>
      </c>
      <c r="L249">
        <v>0</v>
      </c>
      <c r="M249">
        <v>375</v>
      </c>
      <c r="N249">
        <v>49474.12</v>
      </c>
      <c r="O249">
        <v>6511.75</v>
      </c>
      <c r="P249">
        <v>1613.11</v>
      </c>
      <c r="Q249">
        <v>38464.410000000003</v>
      </c>
      <c r="R249">
        <v>1371.95</v>
      </c>
      <c r="S249">
        <v>0</v>
      </c>
      <c r="T249">
        <v>0</v>
      </c>
      <c r="U249">
        <v>3178.7</v>
      </c>
      <c r="V249">
        <v>1317.45</v>
      </c>
      <c r="W249">
        <v>2896.2</v>
      </c>
      <c r="X249">
        <v>29700.11</v>
      </c>
      <c r="Y249">
        <v>2884.85</v>
      </c>
      <c r="Z249">
        <v>0</v>
      </c>
      <c r="AA249">
        <v>0</v>
      </c>
      <c r="AB249">
        <v>1721000</v>
      </c>
      <c r="AC249" t="s">
        <v>251</v>
      </c>
    </row>
    <row r="250" spans="1:29" outlineLevel="1" x14ac:dyDescent="0.2">
      <c r="B250" s="386" t="s">
        <v>2655</v>
      </c>
      <c r="N250">
        <f>SUBTOTAL(9,N249:N249)</f>
        <v>49474.12</v>
      </c>
    </row>
    <row r="251" spans="1:29" outlineLevel="2" x14ac:dyDescent="0.2">
      <c r="A251">
        <v>506</v>
      </c>
      <c r="B251">
        <v>3429196</v>
      </c>
      <c r="C251">
        <v>34291963</v>
      </c>
      <c r="D251" t="s">
        <v>2315</v>
      </c>
      <c r="E251" t="s">
        <v>2316</v>
      </c>
      <c r="F251">
        <v>841001</v>
      </c>
      <c r="G251" t="s">
        <v>2384</v>
      </c>
      <c r="H251">
        <v>90534</v>
      </c>
      <c r="I251">
        <v>0</v>
      </c>
      <c r="J251">
        <v>5</v>
      </c>
      <c r="K251">
        <v>9</v>
      </c>
      <c r="L251">
        <v>0</v>
      </c>
      <c r="M251">
        <v>720</v>
      </c>
      <c r="N251">
        <v>85189.43</v>
      </c>
      <c r="O251">
        <v>13893.95</v>
      </c>
      <c r="P251">
        <v>2338.42</v>
      </c>
      <c r="Q251">
        <v>64151.96</v>
      </c>
      <c r="R251">
        <v>2331.4</v>
      </c>
      <c r="S251">
        <v>5078.3999999999996</v>
      </c>
      <c r="T251">
        <v>0</v>
      </c>
      <c r="U251">
        <v>0</v>
      </c>
      <c r="V251">
        <v>2490.0500000000002</v>
      </c>
      <c r="W251">
        <v>0</v>
      </c>
      <c r="X251">
        <v>54252.11</v>
      </c>
      <c r="Y251">
        <v>4805.1000000000004</v>
      </c>
      <c r="Z251">
        <v>0</v>
      </c>
      <c r="AA251">
        <v>0</v>
      </c>
      <c r="AB251">
        <v>1841001</v>
      </c>
      <c r="AC251" t="s">
        <v>251</v>
      </c>
    </row>
    <row r="252" spans="1:29" outlineLevel="1" x14ac:dyDescent="0.2">
      <c r="B252" s="386" t="s">
        <v>2654</v>
      </c>
      <c r="N252">
        <f>SUBTOTAL(9,N251:N251)</f>
        <v>85189.43</v>
      </c>
    </row>
    <row r="253" spans="1:29" outlineLevel="2" x14ac:dyDescent="0.2">
      <c r="A253">
        <v>506</v>
      </c>
      <c r="B253">
        <v>3429563</v>
      </c>
      <c r="C253">
        <v>34295634</v>
      </c>
      <c r="D253" t="s">
        <v>2131</v>
      </c>
      <c r="E253" t="s">
        <v>2419</v>
      </c>
      <c r="F253">
        <v>817120</v>
      </c>
      <c r="G253" t="s">
        <v>2384</v>
      </c>
      <c r="H253">
        <v>90534</v>
      </c>
      <c r="I253">
        <v>1</v>
      </c>
      <c r="J253">
        <v>0</v>
      </c>
      <c r="K253">
        <v>0</v>
      </c>
      <c r="L253">
        <v>0</v>
      </c>
      <c r="M253">
        <v>0</v>
      </c>
      <c r="N253">
        <v>14469.79</v>
      </c>
      <c r="O253">
        <v>1347.5</v>
      </c>
      <c r="P253">
        <v>449.94</v>
      </c>
      <c r="Q253">
        <v>11694.2</v>
      </c>
      <c r="R253">
        <v>0</v>
      </c>
      <c r="S253">
        <v>244.45</v>
      </c>
      <c r="T253">
        <v>0</v>
      </c>
      <c r="U253">
        <v>0</v>
      </c>
      <c r="V253">
        <v>464.75</v>
      </c>
      <c r="W253">
        <v>0</v>
      </c>
      <c r="X253">
        <v>10985</v>
      </c>
      <c r="Y253">
        <v>978.15</v>
      </c>
      <c r="Z253">
        <v>0</v>
      </c>
      <c r="AA253">
        <v>0</v>
      </c>
      <c r="AB253">
        <v>1817120</v>
      </c>
      <c r="AC253" t="s">
        <v>251</v>
      </c>
    </row>
    <row r="254" spans="1:29" outlineLevel="1" x14ac:dyDescent="0.2">
      <c r="B254" s="386" t="s">
        <v>2653</v>
      </c>
      <c r="N254">
        <f>SUBTOTAL(9,N253:N253)</f>
        <v>14469.79</v>
      </c>
    </row>
    <row r="255" spans="1:29" outlineLevel="2" x14ac:dyDescent="0.2">
      <c r="A255">
        <v>506</v>
      </c>
      <c r="B255">
        <v>3443023</v>
      </c>
      <c r="C255">
        <v>34430231</v>
      </c>
      <c r="D255" t="s">
        <v>2224</v>
      </c>
      <c r="E255" t="s">
        <v>2266</v>
      </c>
      <c r="F255">
        <v>621000</v>
      </c>
      <c r="G255" t="s">
        <v>2384</v>
      </c>
      <c r="H255">
        <v>90534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1043.76</v>
      </c>
      <c r="O255">
        <v>0</v>
      </c>
      <c r="P255">
        <v>40.42</v>
      </c>
      <c r="Q255">
        <v>933.35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933.35</v>
      </c>
      <c r="Y255">
        <v>69.989999999999995</v>
      </c>
      <c r="Z255">
        <v>0</v>
      </c>
      <c r="AA255">
        <v>0</v>
      </c>
      <c r="AB255">
        <v>1621000</v>
      </c>
      <c r="AC255" t="s">
        <v>251</v>
      </c>
    </row>
    <row r="256" spans="1:29" outlineLevel="2" x14ac:dyDescent="0.2">
      <c r="A256">
        <v>506</v>
      </c>
      <c r="B256">
        <v>3443023</v>
      </c>
      <c r="C256">
        <v>34430231</v>
      </c>
      <c r="D256" t="s">
        <v>2224</v>
      </c>
      <c r="E256" t="s">
        <v>2266</v>
      </c>
      <c r="F256">
        <v>623000</v>
      </c>
      <c r="G256" t="s">
        <v>2384</v>
      </c>
      <c r="H256">
        <v>90534</v>
      </c>
      <c r="I256">
        <v>0</v>
      </c>
      <c r="J256">
        <v>5</v>
      </c>
      <c r="K256">
        <v>7</v>
      </c>
      <c r="L256">
        <v>0</v>
      </c>
      <c r="M256">
        <v>900</v>
      </c>
      <c r="N256">
        <v>77297.399999999994</v>
      </c>
      <c r="O256">
        <v>6252.25</v>
      </c>
      <c r="P256">
        <v>2683.47</v>
      </c>
      <c r="Q256">
        <v>63592.27</v>
      </c>
      <c r="R256">
        <v>0</v>
      </c>
      <c r="S256">
        <v>5750</v>
      </c>
      <c r="T256">
        <v>0</v>
      </c>
      <c r="U256">
        <v>0</v>
      </c>
      <c r="V256">
        <v>2141.4499999999998</v>
      </c>
      <c r="W256">
        <v>0</v>
      </c>
      <c r="X256">
        <v>55700.82</v>
      </c>
      <c r="Y256">
        <v>4769.41</v>
      </c>
      <c r="Z256">
        <v>0</v>
      </c>
      <c r="AA256">
        <v>0</v>
      </c>
      <c r="AB256">
        <v>1623000</v>
      </c>
      <c r="AC256" t="s">
        <v>251</v>
      </c>
    </row>
    <row r="257" spans="1:29" outlineLevel="1" x14ac:dyDescent="0.2">
      <c r="B257" s="386" t="s">
        <v>2652</v>
      </c>
      <c r="N257">
        <f>SUBTOTAL(9,N255:N256)</f>
        <v>78341.159999999989</v>
      </c>
    </row>
    <row r="258" spans="1:29" outlineLevel="2" x14ac:dyDescent="0.2">
      <c r="A258">
        <v>506</v>
      </c>
      <c r="B258">
        <v>3443238</v>
      </c>
      <c r="C258">
        <v>34432385</v>
      </c>
      <c r="D258" t="s">
        <v>1419</v>
      </c>
      <c r="E258" t="s">
        <v>2116</v>
      </c>
      <c r="F258">
        <v>812200</v>
      </c>
      <c r="G258" t="s">
        <v>2384</v>
      </c>
      <c r="H258">
        <v>90534</v>
      </c>
      <c r="I258">
        <v>0</v>
      </c>
      <c r="J258">
        <v>5</v>
      </c>
      <c r="K258">
        <v>6</v>
      </c>
      <c r="L258">
        <v>0</v>
      </c>
      <c r="M258">
        <v>747</v>
      </c>
      <c r="N258">
        <v>68724.84</v>
      </c>
      <c r="O258">
        <v>10126.549999999999</v>
      </c>
      <c r="P258">
        <v>1875.15</v>
      </c>
      <c r="Q258">
        <v>52765.75</v>
      </c>
      <c r="R258">
        <v>2330.5500000000002</v>
      </c>
      <c r="S258">
        <v>4170.3</v>
      </c>
      <c r="T258">
        <v>0</v>
      </c>
      <c r="U258">
        <v>0</v>
      </c>
      <c r="V258">
        <v>1334.25</v>
      </c>
      <c r="W258">
        <v>0</v>
      </c>
      <c r="X258">
        <v>44930.65</v>
      </c>
      <c r="Y258">
        <v>3957.39</v>
      </c>
      <c r="Z258">
        <v>0</v>
      </c>
      <c r="AA258">
        <v>0</v>
      </c>
      <c r="AB258">
        <v>1812200</v>
      </c>
      <c r="AC258" t="s">
        <v>251</v>
      </c>
    </row>
    <row r="259" spans="1:29" outlineLevel="2" x14ac:dyDescent="0.2">
      <c r="A259">
        <v>506</v>
      </c>
      <c r="B259">
        <v>3443238</v>
      </c>
      <c r="C259">
        <v>34432385</v>
      </c>
      <c r="D259" t="s">
        <v>1419</v>
      </c>
      <c r="E259" t="s">
        <v>2116</v>
      </c>
      <c r="F259">
        <v>812300</v>
      </c>
      <c r="G259" t="s">
        <v>2384</v>
      </c>
      <c r="H259">
        <v>90534</v>
      </c>
      <c r="I259">
        <v>1</v>
      </c>
      <c r="J259">
        <v>0</v>
      </c>
      <c r="K259">
        <v>0</v>
      </c>
      <c r="L259">
        <v>0</v>
      </c>
      <c r="M259">
        <v>0</v>
      </c>
      <c r="N259">
        <v>85.93</v>
      </c>
      <c r="O259">
        <v>0</v>
      </c>
      <c r="P259">
        <v>2.67</v>
      </c>
      <c r="Q259">
        <v>77.45</v>
      </c>
      <c r="R259">
        <v>0</v>
      </c>
      <c r="S259">
        <v>0</v>
      </c>
      <c r="T259">
        <v>0</v>
      </c>
      <c r="U259">
        <v>0</v>
      </c>
      <c r="V259">
        <v>77.45</v>
      </c>
      <c r="W259">
        <v>0</v>
      </c>
      <c r="X259">
        <v>0</v>
      </c>
      <c r="Y259">
        <v>5.81</v>
      </c>
      <c r="Z259">
        <v>0</v>
      </c>
      <c r="AA259">
        <v>0</v>
      </c>
      <c r="AB259">
        <v>1812300</v>
      </c>
      <c r="AC259" t="s">
        <v>251</v>
      </c>
    </row>
    <row r="260" spans="1:29" outlineLevel="1" x14ac:dyDescent="0.2">
      <c r="B260" s="386" t="s">
        <v>2651</v>
      </c>
      <c r="N260">
        <f>SUBTOTAL(9,N258:N259)</f>
        <v>68810.76999999999</v>
      </c>
    </row>
    <row r="261" spans="1:29" outlineLevel="2" x14ac:dyDescent="0.2">
      <c r="A261">
        <v>506</v>
      </c>
      <c r="B261">
        <v>3452404</v>
      </c>
      <c r="C261">
        <v>34524041</v>
      </c>
      <c r="D261" t="s">
        <v>2143</v>
      </c>
      <c r="E261" t="s">
        <v>2385</v>
      </c>
      <c r="F261">
        <v>812200</v>
      </c>
      <c r="G261" t="s">
        <v>2384</v>
      </c>
      <c r="H261">
        <v>90534</v>
      </c>
      <c r="I261">
        <v>0</v>
      </c>
      <c r="J261">
        <v>5</v>
      </c>
      <c r="K261">
        <v>37</v>
      </c>
      <c r="L261">
        <v>0</v>
      </c>
      <c r="M261">
        <v>664</v>
      </c>
      <c r="N261">
        <v>71061.73</v>
      </c>
      <c r="O261">
        <v>12022.05</v>
      </c>
      <c r="P261">
        <v>2116.7199999999998</v>
      </c>
      <c r="Q261">
        <v>52924.41</v>
      </c>
      <c r="R261">
        <v>0</v>
      </c>
      <c r="S261">
        <v>4772.5</v>
      </c>
      <c r="T261">
        <v>0</v>
      </c>
      <c r="U261">
        <v>0</v>
      </c>
      <c r="V261">
        <v>1126.45</v>
      </c>
      <c r="W261">
        <v>0</v>
      </c>
      <c r="X261">
        <v>47025.46</v>
      </c>
      <c r="Y261">
        <v>3998.55</v>
      </c>
      <c r="Z261">
        <v>0</v>
      </c>
      <c r="AA261">
        <v>0</v>
      </c>
      <c r="AB261">
        <v>1812200</v>
      </c>
      <c r="AC261" t="s">
        <v>251</v>
      </c>
    </row>
    <row r="262" spans="1:29" outlineLevel="1" x14ac:dyDescent="0.2">
      <c r="B262" s="386" t="s">
        <v>2650</v>
      </c>
      <c r="N262">
        <f>SUBTOTAL(9,N261:N261)</f>
        <v>71061.73</v>
      </c>
    </row>
    <row r="263" spans="1:29" outlineLevel="2" x14ac:dyDescent="0.2">
      <c r="A263">
        <v>506</v>
      </c>
      <c r="B263">
        <v>3457700</v>
      </c>
      <c r="C263">
        <v>34577007</v>
      </c>
      <c r="D263" t="s">
        <v>2117</v>
      </c>
      <c r="E263" t="s">
        <v>2118</v>
      </c>
      <c r="F263">
        <v>812200</v>
      </c>
      <c r="G263" t="s">
        <v>2384</v>
      </c>
      <c r="H263">
        <v>90534</v>
      </c>
      <c r="I263">
        <v>0</v>
      </c>
      <c r="J263">
        <v>5</v>
      </c>
      <c r="K263">
        <v>4</v>
      </c>
      <c r="L263">
        <v>0</v>
      </c>
      <c r="M263">
        <v>332</v>
      </c>
      <c r="N263">
        <v>28799.31</v>
      </c>
      <c r="O263">
        <v>3523.41</v>
      </c>
      <c r="P263">
        <v>785.96</v>
      </c>
      <c r="Q263">
        <v>22781.38</v>
      </c>
      <c r="R263">
        <v>1733</v>
      </c>
      <c r="S263">
        <v>2503.1999999999998</v>
      </c>
      <c r="T263">
        <v>0</v>
      </c>
      <c r="U263">
        <v>0</v>
      </c>
      <c r="V263">
        <v>362.2</v>
      </c>
      <c r="W263">
        <v>0</v>
      </c>
      <c r="X263">
        <v>18182.98</v>
      </c>
      <c r="Y263">
        <v>1708.56</v>
      </c>
      <c r="Z263">
        <v>0</v>
      </c>
      <c r="AA263">
        <v>0</v>
      </c>
      <c r="AB263">
        <v>1812200</v>
      </c>
      <c r="AC263" t="s">
        <v>251</v>
      </c>
    </row>
    <row r="264" spans="1:29" outlineLevel="2" x14ac:dyDescent="0.2">
      <c r="A264">
        <v>506</v>
      </c>
      <c r="B264">
        <v>3457700</v>
      </c>
      <c r="C264">
        <v>34577007</v>
      </c>
      <c r="D264" t="s">
        <v>2117</v>
      </c>
      <c r="E264" t="s">
        <v>2118</v>
      </c>
      <c r="F264">
        <v>812301</v>
      </c>
      <c r="G264" t="s">
        <v>2384</v>
      </c>
      <c r="H264">
        <v>90534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78.62</v>
      </c>
      <c r="O264">
        <v>3.39</v>
      </c>
      <c r="P264">
        <v>2.34</v>
      </c>
      <c r="Q264">
        <v>67.8</v>
      </c>
      <c r="R264">
        <v>0</v>
      </c>
      <c r="S264">
        <v>0</v>
      </c>
      <c r="T264">
        <v>0</v>
      </c>
      <c r="U264">
        <v>0</v>
      </c>
      <c r="V264">
        <v>67.8</v>
      </c>
      <c r="W264">
        <v>0</v>
      </c>
      <c r="X264">
        <v>0</v>
      </c>
      <c r="Y264">
        <v>5.09</v>
      </c>
      <c r="Z264">
        <v>0</v>
      </c>
      <c r="AA264">
        <v>0</v>
      </c>
      <c r="AB264">
        <v>1812301</v>
      </c>
      <c r="AC264" t="s">
        <v>251</v>
      </c>
    </row>
    <row r="265" spans="1:29" outlineLevel="1" x14ac:dyDescent="0.2">
      <c r="B265" s="386" t="s">
        <v>2649</v>
      </c>
      <c r="N265">
        <f>SUBTOTAL(9,N263:N264)</f>
        <v>28877.93</v>
      </c>
    </row>
    <row r="266" spans="1:29" outlineLevel="2" x14ac:dyDescent="0.2">
      <c r="A266">
        <v>506</v>
      </c>
      <c r="B266">
        <v>3472828</v>
      </c>
      <c r="C266">
        <v>34728287</v>
      </c>
      <c r="D266" t="s">
        <v>2129</v>
      </c>
      <c r="E266" t="s">
        <v>2130</v>
      </c>
      <c r="F266">
        <v>812201</v>
      </c>
      <c r="G266" t="s">
        <v>2384</v>
      </c>
      <c r="H266">
        <v>90534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22734.52</v>
      </c>
      <c r="O266">
        <v>2371.8000000000002</v>
      </c>
      <c r="P266">
        <v>633.16999999999996</v>
      </c>
      <c r="Q266">
        <v>18353.05</v>
      </c>
      <c r="R266">
        <v>0</v>
      </c>
      <c r="S266">
        <v>1331.5</v>
      </c>
      <c r="T266">
        <v>0</v>
      </c>
      <c r="U266">
        <v>0</v>
      </c>
      <c r="V266">
        <v>784.25</v>
      </c>
      <c r="W266">
        <v>0</v>
      </c>
      <c r="X266">
        <v>16237.3</v>
      </c>
      <c r="Y266">
        <v>1376.5</v>
      </c>
      <c r="Z266">
        <v>0</v>
      </c>
      <c r="AA266">
        <v>0</v>
      </c>
      <c r="AB266">
        <v>1812201</v>
      </c>
      <c r="AC266" t="s">
        <v>251</v>
      </c>
    </row>
    <row r="267" spans="1:29" outlineLevel="1" x14ac:dyDescent="0.2">
      <c r="B267" s="386" t="s">
        <v>2648</v>
      </c>
      <c r="N267">
        <f>SUBTOTAL(9,N266:N266)</f>
        <v>22734.52</v>
      </c>
    </row>
    <row r="268" spans="1:29" outlineLevel="2" x14ac:dyDescent="0.2">
      <c r="A268">
        <v>506</v>
      </c>
      <c r="B268">
        <v>3480322</v>
      </c>
      <c r="C268">
        <v>34803221</v>
      </c>
      <c r="D268" t="s">
        <v>2200</v>
      </c>
      <c r="E268" t="s">
        <v>2201</v>
      </c>
      <c r="F268">
        <v>813310</v>
      </c>
      <c r="G268" t="s">
        <v>2384</v>
      </c>
      <c r="H268">
        <v>90534</v>
      </c>
      <c r="I268">
        <v>1</v>
      </c>
      <c r="J268">
        <v>0</v>
      </c>
      <c r="K268">
        <v>0</v>
      </c>
      <c r="L268">
        <v>0</v>
      </c>
      <c r="M268">
        <v>0</v>
      </c>
      <c r="N268">
        <v>61875.75</v>
      </c>
      <c r="O268">
        <v>9638.5499999999993</v>
      </c>
      <c r="P268">
        <v>1672.65</v>
      </c>
      <c r="Q268">
        <v>47036.800000000003</v>
      </c>
      <c r="R268">
        <v>0</v>
      </c>
      <c r="S268">
        <v>4686.8999999999996</v>
      </c>
      <c r="T268">
        <v>0</v>
      </c>
      <c r="U268">
        <v>0</v>
      </c>
      <c r="V268">
        <v>329.2</v>
      </c>
      <c r="W268">
        <v>0</v>
      </c>
      <c r="X268">
        <v>42020.7</v>
      </c>
      <c r="Y268">
        <v>3527.75</v>
      </c>
      <c r="Z268">
        <v>0</v>
      </c>
      <c r="AA268">
        <v>0</v>
      </c>
      <c r="AB268">
        <v>1813310</v>
      </c>
      <c r="AC268" t="s">
        <v>251</v>
      </c>
    </row>
    <row r="269" spans="1:29" outlineLevel="1" x14ac:dyDescent="0.2">
      <c r="B269" s="386" t="s">
        <v>2647</v>
      </c>
      <c r="N269">
        <f>SUBTOTAL(9,N268:N268)</f>
        <v>61875.75</v>
      </c>
    </row>
    <row r="270" spans="1:29" outlineLevel="2" x14ac:dyDescent="0.2">
      <c r="A270">
        <v>506</v>
      </c>
      <c r="B270">
        <v>3529446</v>
      </c>
      <c r="C270">
        <v>35294461</v>
      </c>
      <c r="D270" t="s">
        <v>2176</v>
      </c>
      <c r="E270" t="s">
        <v>2353</v>
      </c>
      <c r="F270">
        <v>996000</v>
      </c>
      <c r="G270" t="s">
        <v>2384</v>
      </c>
      <c r="H270">
        <v>90534</v>
      </c>
      <c r="I270">
        <v>3</v>
      </c>
      <c r="J270">
        <v>5</v>
      </c>
      <c r="K270">
        <v>8</v>
      </c>
      <c r="L270">
        <v>0</v>
      </c>
      <c r="M270">
        <v>282.60000000000002</v>
      </c>
      <c r="N270">
        <v>18634.099999999999</v>
      </c>
      <c r="O270">
        <v>0</v>
      </c>
      <c r="P270">
        <v>0</v>
      </c>
      <c r="Q270">
        <v>17334.2</v>
      </c>
      <c r="R270">
        <v>0</v>
      </c>
      <c r="S270">
        <v>665.7</v>
      </c>
      <c r="T270">
        <v>16668.5</v>
      </c>
      <c r="U270">
        <v>0</v>
      </c>
      <c r="V270">
        <v>0</v>
      </c>
      <c r="W270">
        <v>0</v>
      </c>
      <c r="X270">
        <v>0</v>
      </c>
      <c r="Y270">
        <v>1299.9000000000001</v>
      </c>
      <c r="Z270">
        <v>0</v>
      </c>
      <c r="AA270">
        <v>0</v>
      </c>
      <c r="AB270">
        <v>1996000</v>
      </c>
      <c r="AC270" t="s">
        <v>251</v>
      </c>
    </row>
    <row r="271" spans="1:29" outlineLevel="1" x14ac:dyDescent="0.2">
      <c r="B271" s="386" t="s">
        <v>2646</v>
      </c>
      <c r="N271">
        <f>SUBTOTAL(9,N270:N270)</f>
        <v>18634.099999999999</v>
      </c>
    </row>
    <row r="272" spans="1:29" outlineLevel="2" x14ac:dyDescent="0.2">
      <c r="A272">
        <v>506</v>
      </c>
      <c r="B272">
        <v>3532972</v>
      </c>
      <c r="C272">
        <v>35329721</v>
      </c>
      <c r="D272" t="s">
        <v>2131</v>
      </c>
      <c r="E272" t="s">
        <v>2354</v>
      </c>
      <c r="F272">
        <v>996000</v>
      </c>
      <c r="G272" t="s">
        <v>2384</v>
      </c>
      <c r="H272">
        <v>90534</v>
      </c>
      <c r="I272">
        <v>3</v>
      </c>
      <c r="J272">
        <v>3</v>
      </c>
      <c r="K272">
        <v>13</v>
      </c>
      <c r="L272">
        <v>0</v>
      </c>
      <c r="M272">
        <v>630</v>
      </c>
      <c r="N272">
        <v>130307.05</v>
      </c>
      <c r="O272">
        <v>0</v>
      </c>
      <c r="P272">
        <v>0</v>
      </c>
      <c r="Q272">
        <v>121215.75</v>
      </c>
      <c r="R272">
        <v>0</v>
      </c>
      <c r="S272">
        <v>1484</v>
      </c>
      <c r="T272">
        <v>119731.75</v>
      </c>
      <c r="U272">
        <v>0</v>
      </c>
      <c r="V272">
        <v>0</v>
      </c>
      <c r="W272">
        <v>0</v>
      </c>
      <c r="X272">
        <v>0</v>
      </c>
      <c r="Y272">
        <v>9091.2999999999993</v>
      </c>
      <c r="Z272">
        <v>0</v>
      </c>
      <c r="AA272">
        <v>0</v>
      </c>
      <c r="AB272">
        <v>1996000</v>
      </c>
      <c r="AC272" t="s">
        <v>251</v>
      </c>
    </row>
    <row r="273" spans="1:29" outlineLevel="1" x14ac:dyDescent="0.2">
      <c r="B273" s="386" t="s">
        <v>2645</v>
      </c>
      <c r="N273">
        <f>SUBTOTAL(9,N272:N272)</f>
        <v>130307.05</v>
      </c>
    </row>
    <row r="274" spans="1:29" outlineLevel="2" x14ac:dyDescent="0.2">
      <c r="A274">
        <v>506</v>
      </c>
      <c r="B274">
        <v>3533437</v>
      </c>
      <c r="C274">
        <v>35334374</v>
      </c>
      <c r="D274" t="s">
        <v>1390</v>
      </c>
      <c r="E274" t="s">
        <v>2355</v>
      </c>
      <c r="F274">
        <v>996000</v>
      </c>
      <c r="G274" t="s">
        <v>2384</v>
      </c>
      <c r="H274">
        <v>90534</v>
      </c>
      <c r="I274">
        <v>3</v>
      </c>
      <c r="J274">
        <v>5</v>
      </c>
      <c r="K274">
        <v>16</v>
      </c>
      <c r="L274">
        <v>0</v>
      </c>
      <c r="M274">
        <v>389.7</v>
      </c>
      <c r="N274">
        <v>47562.55</v>
      </c>
      <c r="O274">
        <v>0</v>
      </c>
      <c r="P274">
        <v>0</v>
      </c>
      <c r="Q274">
        <v>44244.15</v>
      </c>
      <c r="R274">
        <v>0</v>
      </c>
      <c r="S274">
        <v>917.95</v>
      </c>
      <c r="T274">
        <v>43326.2</v>
      </c>
      <c r="U274">
        <v>0</v>
      </c>
      <c r="V274">
        <v>0</v>
      </c>
      <c r="W274">
        <v>0</v>
      </c>
      <c r="X274">
        <v>0</v>
      </c>
      <c r="Y274">
        <v>3318.4</v>
      </c>
      <c r="Z274">
        <v>0</v>
      </c>
      <c r="AA274">
        <v>0</v>
      </c>
      <c r="AB274">
        <v>1996000</v>
      </c>
      <c r="AC274" t="s">
        <v>251</v>
      </c>
    </row>
    <row r="275" spans="1:29" outlineLevel="1" x14ac:dyDescent="0.2">
      <c r="B275" s="386" t="s">
        <v>2644</v>
      </c>
      <c r="N275">
        <f>SUBTOTAL(9,N274:N274)</f>
        <v>47562.55</v>
      </c>
    </row>
    <row r="276" spans="1:29" outlineLevel="2" x14ac:dyDescent="0.2">
      <c r="A276">
        <v>506</v>
      </c>
      <c r="B276">
        <v>3547802</v>
      </c>
      <c r="C276">
        <v>35478023</v>
      </c>
      <c r="D276" t="s">
        <v>1531</v>
      </c>
      <c r="E276" t="s">
        <v>2356</v>
      </c>
      <c r="F276">
        <v>996000</v>
      </c>
      <c r="G276" t="s">
        <v>2384</v>
      </c>
      <c r="H276">
        <v>90534</v>
      </c>
      <c r="I276">
        <v>3</v>
      </c>
      <c r="J276">
        <v>5</v>
      </c>
      <c r="K276">
        <v>9</v>
      </c>
      <c r="L276">
        <v>0</v>
      </c>
      <c r="M276">
        <v>297.89999999999998</v>
      </c>
      <c r="N276">
        <v>23021.5</v>
      </c>
      <c r="O276">
        <v>0</v>
      </c>
      <c r="P276">
        <v>0</v>
      </c>
      <c r="Q276">
        <v>21415.35</v>
      </c>
      <c r="R276">
        <v>0</v>
      </c>
      <c r="S276">
        <v>701.7</v>
      </c>
      <c r="T276">
        <v>20713.650000000001</v>
      </c>
      <c r="U276">
        <v>0</v>
      </c>
      <c r="V276">
        <v>0</v>
      </c>
      <c r="W276">
        <v>0</v>
      </c>
      <c r="X276">
        <v>0</v>
      </c>
      <c r="Y276">
        <v>1606.15</v>
      </c>
      <c r="Z276">
        <v>0</v>
      </c>
      <c r="AA276">
        <v>0</v>
      </c>
      <c r="AB276">
        <v>1996000</v>
      </c>
      <c r="AC276" t="s">
        <v>251</v>
      </c>
    </row>
    <row r="277" spans="1:29" outlineLevel="1" x14ac:dyDescent="0.2">
      <c r="B277" s="386" t="s">
        <v>2643</v>
      </c>
      <c r="N277">
        <f>SUBTOTAL(9,N276:N276)</f>
        <v>23021.5</v>
      </c>
    </row>
    <row r="278" spans="1:29" outlineLevel="2" x14ac:dyDescent="0.2">
      <c r="A278">
        <v>506</v>
      </c>
      <c r="B278">
        <v>3570237</v>
      </c>
      <c r="C278">
        <v>35702372</v>
      </c>
      <c r="D278" t="s">
        <v>2388</v>
      </c>
      <c r="E278" t="s">
        <v>2389</v>
      </c>
      <c r="F278">
        <v>812201</v>
      </c>
      <c r="G278" t="s">
        <v>2384</v>
      </c>
      <c r="H278">
        <v>90534</v>
      </c>
      <c r="I278">
        <v>1</v>
      </c>
      <c r="J278">
        <v>0</v>
      </c>
      <c r="K278">
        <v>0</v>
      </c>
      <c r="L278">
        <v>0</v>
      </c>
      <c r="M278">
        <v>0</v>
      </c>
      <c r="N278">
        <v>9820.57</v>
      </c>
      <c r="O278">
        <v>0</v>
      </c>
      <c r="P278">
        <v>305.37</v>
      </c>
      <c r="Q278">
        <v>8851.35</v>
      </c>
      <c r="R278">
        <v>0</v>
      </c>
      <c r="S278">
        <v>0</v>
      </c>
      <c r="T278">
        <v>0</v>
      </c>
      <c r="U278">
        <v>0</v>
      </c>
      <c r="V278">
        <v>1055.1500000000001</v>
      </c>
      <c r="W278">
        <v>0</v>
      </c>
      <c r="X278">
        <v>7796.2</v>
      </c>
      <c r="Y278">
        <v>663.85</v>
      </c>
      <c r="Z278">
        <v>0</v>
      </c>
      <c r="AA278">
        <v>0</v>
      </c>
      <c r="AB278">
        <v>1812201</v>
      </c>
      <c r="AC278" t="s">
        <v>251</v>
      </c>
    </row>
    <row r="279" spans="1:29" outlineLevel="1" x14ac:dyDescent="0.2">
      <c r="B279" s="386" t="s">
        <v>2642</v>
      </c>
      <c r="N279">
        <f>SUBTOTAL(9,N278:N278)</f>
        <v>9820.57</v>
      </c>
    </row>
    <row r="280" spans="1:29" outlineLevel="2" x14ac:dyDescent="0.2">
      <c r="A280">
        <v>506</v>
      </c>
      <c r="B280">
        <v>3582089</v>
      </c>
      <c r="C280">
        <v>35820893</v>
      </c>
      <c r="D280" t="s">
        <v>2112</v>
      </c>
      <c r="E280" t="s">
        <v>2422</v>
      </c>
      <c r="F280">
        <v>817800</v>
      </c>
      <c r="G280" t="s">
        <v>2384</v>
      </c>
      <c r="H280">
        <v>90534</v>
      </c>
      <c r="I280">
        <v>1</v>
      </c>
      <c r="J280">
        <v>0</v>
      </c>
      <c r="K280">
        <v>0</v>
      </c>
      <c r="L280">
        <v>0</v>
      </c>
      <c r="M280">
        <v>0</v>
      </c>
      <c r="N280">
        <v>55446.559999999998</v>
      </c>
      <c r="O280">
        <v>5832</v>
      </c>
      <c r="P280">
        <v>2737.16</v>
      </c>
      <c r="Q280">
        <v>43200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43200</v>
      </c>
      <c r="Y280">
        <v>3677.4</v>
      </c>
      <c r="Z280">
        <v>0</v>
      </c>
      <c r="AA280">
        <v>0</v>
      </c>
      <c r="AB280">
        <v>1817800</v>
      </c>
      <c r="AC280" t="s">
        <v>251</v>
      </c>
    </row>
    <row r="281" spans="1:29" outlineLevel="1" x14ac:dyDescent="0.2">
      <c r="B281" s="386" t="s">
        <v>2641</v>
      </c>
      <c r="N281">
        <f>SUBTOTAL(9,N280:N280)</f>
        <v>55446.559999999998</v>
      </c>
    </row>
    <row r="282" spans="1:29" outlineLevel="2" x14ac:dyDescent="0.2">
      <c r="A282">
        <v>506</v>
      </c>
      <c r="B282">
        <v>3584536</v>
      </c>
      <c r="C282">
        <v>35845361</v>
      </c>
      <c r="D282" t="s">
        <v>1419</v>
      </c>
      <c r="E282" t="s">
        <v>2153</v>
      </c>
      <c r="F282">
        <v>813320</v>
      </c>
      <c r="G282" t="s">
        <v>2384</v>
      </c>
      <c r="H282">
        <v>90534</v>
      </c>
      <c r="I282">
        <v>1</v>
      </c>
      <c r="J282">
        <v>0</v>
      </c>
      <c r="K282">
        <v>0</v>
      </c>
      <c r="L282">
        <v>0</v>
      </c>
      <c r="M282">
        <v>0</v>
      </c>
      <c r="N282">
        <v>60672.32</v>
      </c>
      <c r="O282">
        <v>6188.25</v>
      </c>
      <c r="P282">
        <v>1733.02</v>
      </c>
      <c r="Q282">
        <v>49070.7</v>
      </c>
      <c r="R282">
        <v>0</v>
      </c>
      <c r="S282">
        <v>5166.2</v>
      </c>
      <c r="T282">
        <v>0</v>
      </c>
      <c r="U282">
        <v>0</v>
      </c>
      <c r="V282">
        <v>2501.6</v>
      </c>
      <c r="W282">
        <v>0</v>
      </c>
      <c r="X282">
        <v>41402.9</v>
      </c>
      <c r="Y282">
        <v>3680.35</v>
      </c>
      <c r="Z282">
        <v>0</v>
      </c>
      <c r="AA282">
        <v>0</v>
      </c>
      <c r="AB282">
        <v>1813320</v>
      </c>
      <c r="AC282" t="s">
        <v>251</v>
      </c>
    </row>
    <row r="283" spans="1:29" outlineLevel="1" x14ac:dyDescent="0.2">
      <c r="B283" s="386" t="s">
        <v>2640</v>
      </c>
      <c r="N283">
        <f>SUBTOTAL(9,N282:N282)</f>
        <v>60672.32</v>
      </c>
    </row>
    <row r="284" spans="1:29" outlineLevel="2" x14ac:dyDescent="0.2">
      <c r="A284">
        <v>506</v>
      </c>
      <c r="B284">
        <v>3590738</v>
      </c>
      <c r="C284">
        <v>35907385</v>
      </c>
      <c r="D284" t="s">
        <v>2131</v>
      </c>
      <c r="E284" t="s">
        <v>2132</v>
      </c>
      <c r="F284">
        <v>812201</v>
      </c>
      <c r="G284" t="s">
        <v>2384</v>
      </c>
      <c r="H284">
        <v>90534</v>
      </c>
      <c r="I284">
        <v>1</v>
      </c>
      <c r="J284">
        <v>0</v>
      </c>
      <c r="K284">
        <v>0</v>
      </c>
      <c r="L284">
        <v>0</v>
      </c>
      <c r="M284">
        <v>0</v>
      </c>
      <c r="N284">
        <v>982.27</v>
      </c>
      <c r="O284">
        <v>139.99</v>
      </c>
      <c r="P284">
        <v>26.2</v>
      </c>
      <c r="Q284">
        <v>759.15</v>
      </c>
      <c r="R284">
        <v>0</v>
      </c>
      <c r="S284">
        <v>0</v>
      </c>
      <c r="T284">
        <v>0</v>
      </c>
      <c r="U284">
        <v>0</v>
      </c>
      <c r="V284">
        <v>87.15</v>
      </c>
      <c r="W284">
        <v>0</v>
      </c>
      <c r="X284">
        <v>672</v>
      </c>
      <c r="Y284">
        <v>56.93</v>
      </c>
      <c r="Z284">
        <v>0</v>
      </c>
      <c r="AA284">
        <v>0</v>
      </c>
      <c r="AB284">
        <v>1812201</v>
      </c>
      <c r="AC284" t="s">
        <v>251</v>
      </c>
    </row>
    <row r="285" spans="1:29" outlineLevel="2" x14ac:dyDescent="0.2">
      <c r="A285">
        <v>506</v>
      </c>
      <c r="B285">
        <v>3590738</v>
      </c>
      <c r="C285">
        <v>35907385</v>
      </c>
      <c r="D285" t="s">
        <v>2131</v>
      </c>
      <c r="E285" t="s">
        <v>2132</v>
      </c>
      <c r="F285">
        <v>812507</v>
      </c>
      <c r="G285" t="s">
        <v>2384</v>
      </c>
      <c r="H285">
        <v>90534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1629.48</v>
      </c>
      <c r="O285">
        <v>257.61</v>
      </c>
      <c r="P285">
        <v>42.65</v>
      </c>
      <c r="Q285">
        <v>1236.5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1236.5</v>
      </c>
      <c r="Y285">
        <v>92.72</v>
      </c>
      <c r="Z285">
        <v>0</v>
      </c>
      <c r="AA285">
        <v>0</v>
      </c>
      <c r="AB285">
        <v>1812507</v>
      </c>
      <c r="AC285" t="s">
        <v>251</v>
      </c>
    </row>
    <row r="286" spans="1:29" outlineLevel="2" x14ac:dyDescent="0.2">
      <c r="A286">
        <v>506</v>
      </c>
      <c r="B286">
        <v>3590738</v>
      </c>
      <c r="C286">
        <v>35907385</v>
      </c>
      <c r="D286" t="s">
        <v>2131</v>
      </c>
      <c r="E286" t="s">
        <v>2132</v>
      </c>
      <c r="F286">
        <v>813320</v>
      </c>
      <c r="G286" t="s">
        <v>2384</v>
      </c>
      <c r="H286">
        <v>90534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46146.17</v>
      </c>
      <c r="O286">
        <v>7153.2</v>
      </c>
      <c r="P286">
        <v>1216.47</v>
      </c>
      <c r="Q286">
        <v>35140.9</v>
      </c>
      <c r="R286">
        <v>0</v>
      </c>
      <c r="S286">
        <v>4473.8500000000004</v>
      </c>
      <c r="T286">
        <v>0</v>
      </c>
      <c r="U286">
        <v>0</v>
      </c>
      <c r="V286">
        <v>0</v>
      </c>
      <c r="W286">
        <v>0</v>
      </c>
      <c r="X286">
        <v>30667.05</v>
      </c>
      <c r="Y286">
        <v>2635.6</v>
      </c>
      <c r="Z286">
        <v>0</v>
      </c>
      <c r="AA286">
        <v>0</v>
      </c>
      <c r="AB286">
        <v>1813320</v>
      </c>
      <c r="AC286" t="s">
        <v>251</v>
      </c>
    </row>
    <row r="287" spans="1:29" outlineLevel="1" x14ac:dyDescent="0.2">
      <c r="B287" s="386" t="s">
        <v>2639</v>
      </c>
      <c r="N287">
        <f>SUBTOTAL(9,N284:N286)</f>
        <v>48757.919999999998</v>
      </c>
    </row>
    <row r="288" spans="1:29" outlineLevel="2" x14ac:dyDescent="0.2">
      <c r="A288">
        <v>506</v>
      </c>
      <c r="B288">
        <v>3599629</v>
      </c>
      <c r="C288">
        <v>35996297</v>
      </c>
      <c r="D288" t="s">
        <v>2423</v>
      </c>
      <c r="E288" t="s">
        <v>2424</v>
      </c>
      <c r="F288">
        <v>817800</v>
      </c>
      <c r="G288" t="s">
        <v>2384</v>
      </c>
      <c r="H288">
        <v>90534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6214.54</v>
      </c>
      <c r="O288">
        <v>666.25</v>
      </c>
      <c r="P288">
        <v>193.24</v>
      </c>
      <c r="Q288">
        <v>4935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4935</v>
      </c>
      <c r="Y288">
        <v>420.05</v>
      </c>
      <c r="Z288">
        <v>0</v>
      </c>
      <c r="AA288">
        <v>0</v>
      </c>
      <c r="AB288">
        <v>1817800</v>
      </c>
      <c r="AC288" t="s">
        <v>251</v>
      </c>
    </row>
    <row r="289" spans="1:29" outlineLevel="1" x14ac:dyDescent="0.2">
      <c r="B289" s="386" t="s">
        <v>2638</v>
      </c>
      <c r="N289">
        <f>SUBTOTAL(9,N288:N288)</f>
        <v>6214.54</v>
      </c>
    </row>
    <row r="290" spans="1:29" outlineLevel="2" x14ac:dyDescent="0.2">
      <c r="A290">
        <v>506</v>
      </c>
      <c r="B290">
        <v>3599882</v>
      </c>
      <c r="C290">
        <v>35998822</v>
      </c>
      <c r="D290" t="s">
        <v>1419</v>
      </c>
      <c r="E290" t="s">
        <v>2140</v>
      </c>
      <c r="F290">
        <v>812203</v>
      </c>
      <c r="G290" t="s">
        <v>2384</v>
      </c>
      <c r="H290">
        <v>90534</v>
      </c>
      <c r="I290">
        <v>0</v>
      </c>
      <c r="J290">
        <v>5</v>
      </c>
      <c r="K290">
        <v>7</v>
      </c>
      <c r="L290">
        <v>0</v>
      </c>
      <c r="M290">
        <v>765</v>
      </c>
      <c r="N290">
        <v>70516.02</v>
      </c>
      <c r="O290">
        <v>10783.46</v>
      </c>
      <c r="P290">
        <v>1902.14</v>
      </c>
      <c r="Q290">
        <v>53795.71</v>
      </c>
      <c r="R290">
        <v>0</v>
      </c>
      <c r="S290">
        <v>4527.1000000000004</v>
      </c>
      <c r="T290">
        <v>0</v>
      </c>
      <c r="U290">
        <v>0</v>
      </c>
      <c r="V290">
        <v>1485.1</v>
      </c>
      <c r="W290">
        <v>0</v>
      </c>
      <c r="X290">
        <v>47783.51</v>
      </c>
      <c r="Y290">
        <v>4034.71</v>
      </c>
      <c r="Z290">
        <v>0</v>
      </c>
      <c r="AA290">
        <v>0</v>
      </c>
      <c r="AB290">
        <v>1812203</v>
      </c>
      <c r="AC290" t="s">
        <v>251</v>
      </c>
    </row>
    <row r="291" spans="1:29" outlineLevel="2" x14ac:dyDescent="0.2">
      <c r="A291">
        <v>506</v>
      </c>
      <c r="B291">
        <v>3599882</v>
      </c>
      <c r="C291">
        <v>35998822</v>
      </c>
      <c r="D291" t="s">
        <v>1419</v>
      </c>
      <c r="E291" t="s">
        <v>2140</v>
      </c>
      <c r="F291">
        <v>812600</v>
      </c>
      <c r="G291" t="s">
        <v>2384</v>
      </c>
      <c r="H291">
        <v>90534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101.03</v>
      </c>
      <c r="O291">
        <v>4.34</v>
      </c>
      <c r="P291">
        <v>3</v>
      </c>
      <c r="Q291">
        <v>87.15</v>
      </c>
      <c r="R291">
        <v>0</v>
      </c>
      <c r="S291">
        <v>0</v>
      </c>
      <c r="T291">
        <v>0</v>
      </c>
      <c r="U291">
        <v>0</v>
      </c>
      <c r="V291">
        <v>87.15</v>
      </c>
      <c r="W291">
        <v>0</v>
      </c>
      <c r="X291">
        <v>0</v>
      </c>
      <c r="Y291">
        <v>6.54</v>
      </c>
      <c r="Z291">
        <v>0</v>
      </c>
      <c r="AA291">
        <v>0</v>
      </c>
      <c r="AB291">
        <v>1812600</v>
      </c>
      <c r="AC291" t="s">
        <v>251</v>
      </c>
    </row>
    <row r="292" spans="1:29" outlineLevel="1" x14ac:dyDescent="0.2">
      <c r="B292" s="386" t="s">
        <v>2637</v>
      </c>
      <c r="N292">
        <f>SUBTOTAL(9,N290:N291)</f>
        <v>70617.05</v>
      </c>
    </row>
    <row r="293" spans="1:29" outlineLevel="2" x14ac:dyDescent="0.2">
      <c r="A293">
        <v>506</v>
      </c>
      <c r="B293">
        <v>3644372</v>
      </c>
      <c r="C293">
        <v>36443729</v>
      </c>
      <c r="D293" t="s">
        <v>2386</v>
      </c>
      <c r="E293" t="s">
        <v>2130</v>
      </c>
      <c r="F293">
        <v>812200</v>
      </c>
      <c r="G293" t="s">
        <v>2384</v>
      </c>
      <c r="H293">
        <v>90534</v>
      </c>
      <c r="I293">
        <v>0</v>
      </c>
      <c r="J293">
        <v>5</v>
      </c>
      <c r="K293">
        <v>6</v>
      </c>
      <c r="L293">
        <v>0</v>
      </c>
      <c r="M293">
        <v>166</v>
      </c>
      <c r="N293">
        <v>8000.65</v>
      </c>
      <c r="O293">
        <v>1182.75</v>
      </c>
      <c r="P293">
        <v>212</v>
      </c>
      <c r="Q293">
        <v>6145.05</v>
      </c>
      <c r="R293">
        <v>259</v>
      </c>
      <c r="S293">
        <v>0</v>
      </c>
      <c r="T293">
        <v>0</v>
      </c>
      <c r="U293">
        <v>0</v>
      </c>
      <c r="V293">
        <v>35.299999999999997</v>
      </c>
      <c r="W293">
        <v>0</v>
      </c>
      <c r="X293">
        <v>5850.75</v>
      </c>
      <c r="Y293">
        <v>460.85</v>
      </c>
      <c r="Z293">
        <v>0</v>
      </c>
      <c r="AA293">
        <v>0</v>
      </c>
      <c r="AB293">
        <v>1812200</v>
      </c>
      <c r="AC293" t="s">
        <v>251</v>
      </c>
    </row>
    <row r="294" spans="1:29" outlineLevel="1" x14ac:dyDescent="0.2">
      <c r="B294" s="386" t="s">
        <v>2636</v>
      </c>
      <c r="N294">
        <f>SUBTOTAL(9,N293:N293)</f>
        <v>8000.65</v>
      </c>
    </row>
    <row r="295" spans="1:29" outlineLevel="2" x14ac:dyDescent="0.2">
      <c r="A295">
        <v>506</v>
      </c>
      <c r="B295">
        <v>3686096</v>
      </c>
      <c r="C295">
        <v>36860963</v>
      </c>
      <c r="D295" t="s">
        <v>2406</v>
      </c>
      <c r="E295" t="s">
        <v>2120</v>
      </c>
      <c r="F295">
        <v>815200</v>
      </c>
      <c r="G295" t="s">
        <v>2384</v>
      </c>
      <c r="H295">
        <v>90534</v>
      </c>
      <c r="I295">
        <v>0</v>
      </c>
      <c r="J295">
        <v>93</v>
      </c>
      <c r="K295">
        <v>1</v>
      </c>
      <c r="L295">
        <v>0</v>
      </c>
      <c r="M295">
        <v>269.60000000000002</v>
      </c>
      <c r="N295">
        <v>28968.01</v>
      </c>
      <c r="O295">
        <v>2948.3</v>
      </c>
      <c r="P295">
        <v>900.78</v>
      </c>
      <c r="Q295">
        <v>23160.78</v>
      </c>
      <c r="R295">
        <v>841.2</v>
      </c>
      <c r="S295">
        <v>0</v>
      </c>
      <c r="T295">
        <v>1167.3</v>
      </c>
      <c r="U295">
        <v>0</v>
      </c>
      <c r="V295">
        <v>479.75</v>
      </c>
      <c r="W295">
        <v>0</v>
      </c>
      <c r="X295">
        <v>20672.53</v>
      </c>
      <c r="Y295">
        <v>1958.15</v>
      </c>
      <c r="Z295">
        <v>0</v>
      </c>
      <c r="AA295">
        <v>0</v>
      </c>
      <c r="AB295">
        <v>1815200</v>
      </c>
      <c r="AC295" t="s">
        <v>251</v>
      </c>
    </row>
    <row r="296" spans="1:29" outlineLevel="1" x14ac:dyDescent="0.2">
      <c r="B296" s="386" t="s">
        <v>2635</v>
      </c>
      <c r="N296">
        <f>SUBTOTAL(9,N295:N295)</f>
        <v>28968.01</v>
      </c>
    </row>
    <row r="297" spans="1:29" outlineLevel="2" x14ac:dyDescent="0.2">
      <c r="A297">
        <v>506</v>
      </c>
      <c r="B297">
        <v>3693519</v>
      </c>
      <c r="C297">
        <v>36935195</v>
      </c>
      <c r="D297" t="s">
        <v>1419</v>
      </c>
      <c r="E297" t="s">
        <v>2202</v>
      </c>
      <c r="F297">
        <v>813310</v>
      </c>
      <c r="G297" t="s">
        <v>2384</v>
      </c>
      <c r="H297">
        <v>90534</v>
      </c>
      <c r="I297">
        <v>1</v>
      </c>
      <c r="J297">
        <v>0</v>
      </c>
      <c r="K297">
        <v>0</v>
      </c>
      <c r="L297">
        <v>0</v>
      </c>
      <c r="M297">
        <v>0</v>
      </c>
      <c r="N297">
        <v>30699.86</v>
      </c>
      <c r="O297">
        <v>3140.9</v>
      </c>
      <c r="P297">
        <v>856.96</v>
      </c>
      <c r="Q297">
        <v>24839.05</v>
      </c>
      <c r="R297">
        <v>0</v>
      </c>
      <c r="S297">
        <v>2929.3</v>
      </c>
      <c r="T297">
        <v>0</v>
      </c>
      <c r="U297">
        <v>0</v>
      </c>
      <c r="V297">
        <v>900.35</v>
      </c>
      <c r="W297">
        <v>0</v>
      </c>
      <c r="X297">
        <v>21009.4</v>
      </c>
      <c r="Y297">
        <v>1862.95</v>
      </c>
      <c r="Z297">
        <v>0</v>
      </c>
      <c r="AA297">
        <v>0</v>
      </c>
      <c r="AB297">
        <v>1813310</v>
      </c>
      <c r="AC297" t="s">
        <v>251</v>
      </c>
    </row>
    <row r="298" spans="1:29" outlineLevel="1" x14ac:dyDescent="0.2">
      <c r="B298" s="386" t="s">
        <v>2634</v>
      </c>
      <c r="N298">
        <f>SUBTOTAL(9,N297:N297)</f>
        <v>30699.86</v>
      </c>
    </row>
    <row r="299" spans="1:29" outlineLevel="2" x14ac:dyDescent="0.2">
      <c r="A299">
        <v>506</v>
      </c>
      <c r="B299">
        <v>3722266</v>
      </c>
      <c r="C299">
        <v>37222668</v>
      </c>
      <c r="D299" t="s">
        <v>2112</v>
      </c>
      <c r="E299" t="s">
        <v>2274</v>
      </c>
      <c r="F299">
        <v>731000</v>
      </c>
      <c r="G299" t="s">
        <v>2384</v>
      </c>
      <c r="H299">
        <v>90534</v>
      </c>
      <c r="I299">
        <v>1</v>
      </c>
      <c r="J299">
        <v>0</v>
      </c>
      <c r="K299">
        <v>0</v>
      </c>
      <c r="L299">
        <v>0</v>
      </c>
      <c r="M299">
        <v>0</v>
      </c>
      <c r="N299">
        <v>67921.289999999994</v>
      </c>
      <c r="O299">
        <v>10039.25</v>
      </c>
      <c r="P299">
        <v>1842.24</v>
      </c>
      <c r="Q299">
        <v>52129.95</v>
      </c>
      <c r="R299">
        <v>0</v>
      </c>
      <c r="S299">
        <v>4740.1499999999996</v>
      </c>
      <c r="T299">
        <v>0</v>
      </c>
      <c r="U299">
        <v>2302.25</v>
      </c>
      <c r="V299">
        <v>1685.55</v>
      </c>
      <c r="W299">
        <v>0</v>
      </c>
      <c r="X299">
        <v>43402</v>
      </c>
      <c r="Y299">
        <v>3909.85</v>
      </c>
      <c r="Z299">
        <v>0</v>
      </c>
      <c r="AA299">
        <v>0</v>
      </c>
      <c r="AB299">
        <v>1731000</v>
      </c>
      <c r="AC299" t="s">
        <v>251</v>
      </c>
    </row>
    <row r="300" spans="1:29" outlineLevel="1" x14ac:dyDescent="0.2">
      <c r="B300" s="386" t="s">
        <v>2633</v>
      </c>
      <c r="N300">
        <f>SUBTOTAL(9,N299:N299)</f>
        <v>67921.289999999994</v>
      </c>
    </row>
    <row r="301" spans="1:29" outlineLevel="2" x14ac:dyDescent="0.2">
      <c r="A301">
        <v>506</v>
      </c>
      <c r="B301">
        <v>3907613</v>
      </c>
      <c r="C301">
        <v>39076138</v>
      </c>
      <c r="D301" t="s">
        <v>2207</v>
      </c>
      <c r="E301" t="s">
        <v>2204</v>
      </c>
      <c r="F301">
        <v>813320</v>
      </c>
      <c r="G301" t="s">
        <v>2384</v>
      </c>
      <c r="H301">
        <v>90534</v>
      </c>
      <c r="I301">
        <v>1</v>
      </c>
      <c r="J301">
        <v>0</v>
      </c>
      <c r="K301">
        <v>0</v>
      </c>
      <c r="L301">
        <v>0</v>
      </c>
      <c r="M301">
        <v>0</v>
      </c>
      <c r="N301">
        <v>32404.34</v>
      </c>
      <c r="O301">
        <v>2703.6</v>
      </c>
      <c r="P301">
        <v>959.49</v>
      </c>
      <c r="Q301">
        <v>26736.05</v>
      </c>
      <c r="R301">
        <v>0</v>
      </c>
      <c r="S301">
        <v>0</v>
      </c>
      <c r="T301">
        <v>0</v>
      </c>
      <c r="U301">
        <v>0</v>
      </c>
      <c r="V301">
        <v>1145.55</v>
      </c>
      <c r="W301">
        <v>0</v>
      </c>
      <c r="X301">
        <v>25590.5</v>
      </c>
      <c r="Y301">
        <v>2005.2</v>
      </c>
      <c r="Z301">
        <v>0</v>
      </c>
      <c r="AA301">
        <v>0</v>
      </c>
      <c r="AB301">
        <v>1813320</v>
      </c>
      <c r="AC301" t="s">
        <v>251</v>
      </c>
    </row>
    <row r="302" spans="1:29" outlineLevel="1" x14ac:dyDescent="0.2">
      <c r="B302" s="386" t="s">
        <v>2632</v>
      </c>
      <c r="N302">
        <f>SUBTOTAL(9,N301:N301)</f>
        <v>32404.34</v>
      </c>
    </row>
    <row r="303" spans="1:29" outlineLevel="2" x14ac:dyDescent="0.2">
      <c r="A303">
        <v>506</v>
      </c>
      <c r="B303">
        <v>3942407</v>
      </c>
      <c r="C303">
        <v>39424072</v>
      </c>
      <c r="D303" t="s">
        <v>2111</v>
      </c>
      <c r="E303" t="s">
        <v>2425</v>
      </c>
      <c r="F303">
        <v>817800</v>
      </c>
      <c r="G303" t="s">
        <v>2384</v>
      </c>
      <c r="H303">
        <v>90534</v>
      </c>
      <c r="I303">
        <v>1</v>
      </c>
      <c r="J303">
        <v>0</v>
      </c>
      <c r="K303">
        <v>0</v>
      </c>
      <c r="L303">
        <v>0</v>
      </c>
      <c r="M303">
        <v>0</v>
      </c>
      <c r="N303">
        <v>5593.01</v>
      </c>
      <c r="O303">
        <v>0</v>
      </c>
      <c r="P303">
        <v>173.91</v>
      </c>
      <c r="Q303">
        <v>5041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5041</v>
      </c>
      <c r="Y303">
        <v>378.1</v>
      </c>
      <c r="Z303">
        <v>0</v>
      </c>
      <c r="AA303">
        <v>0</v>
      </c>
      <c r="AB303">
        <v>1817800</v>
      </c>
      <c r="AC303" t="s">
        <v>251</v>
      </c>
    </row>
    <row r="304" spans="1:29" outlineLevel="1" x14ac:dyDescent="0.2">
      <c r="B304" s="386" t="s">
        <v>2631</v>
      </c>
      <c r="N304">
        <f>SUBTOTAL(9,N303:N303)</f>
        <v>5593.01</v>
      </c>
    </row>
    <row r="305" spans="1:29" outlineLevel="2" x14ac:dyDescent="0.2">
      <c r="A305">
        <v>506</v>
      </c>
      <c r="B305">
        <v>3945507</v>
      </c>
      <c r="C305">
        <v>39455076</v>
      </c>
      <c r="D305" t="s">
        <v>2123</v>
      </c>
      <c r="E305" t="s">
        <v>2194</v>
      </c>
      <c r="F305">
        <v>814000</v>
      </c>
      <c r="G305" t="s">
        <v>2384</v>
      </c>
      <c r="H305">
        <v>90534</v>
      </c>
      <c r="I305">
        <v>0</v>
      </c>
      <c r="J305">
        <v>5</v>
      </c>
      <c r="K305">
        <v>5</v>
      </c>
      <c r="L305">
        <v>0</v>
      </c>
      <c r="M305">
        <v>450</v>
      </c>
      <c r="N305">
        <v>45220.28</v>
      </c>
      <c r="O305">
        <v>6837.95</v>
      </c>
      <c r="P305">
        <v>1193.5</v>
      </c>
      <c r="Q305">
        <v>34594.28</v>
      </c>
      <c r="R305">
        <v>374.4</v>
      </c>
      <c r="S305">
        <v>3195.6</v>
      </c>
      <c r="T305">
        <v>0</v>
      </c>
      <c r="U305">
        <v>0</v>
      </c>
      <c r="V305">
        <v>1505.05</v>
      </c>
      <c r="W305">
        <v>0</v>
      </c>
      <c r="X305">
        <v>29519.23</v>
      </c>
      <c r="Y305">
        <v>2594.5500000000002</v>
      </c>
      <c r="Z305">
        <v>0</v>
      </c>
      <c r="AA305">
        <v>0</v>
      </c>
      <c r="AB305">
        <v>1814000</v>
      </c>
      <c r="AC305" t="s">
        <v>251</v>
      </c>
    </row>
    <row r="306" spans="1:29" outlineLevel="1" x14ac:dyDescent="0.2">
      <c r="B306" s="386" t="s">
        <v>2630</v>
      </c>
      <c r="N306">
        <f>SUBTOTAL(9,N305:N305)</f>
        <v>45220.28</v>
      </c>
    </row>
    <row r="307" spans="1:29" outlineLevel="2" x14ac:dyDescent="0.2">
      <c r="A307">
        <v>506</v>
      </c>
      <c r="B307">
        <v>3945702</v>
      </c>
      <c r="C307">
        <v>39457023</v>
      </c>
      <c r="D307" t="s">
        <v>2138</v>
      </c>
      <c r="E307" t="s">
        <v>2148</v>
      </c>
      <c r="F307">
        <v>812200</v>
      </c>
      <c r="G307" t="s">
        <v>2384</v>
      </c>
      <c r="H307">
        <v>90534</v>
      </c>
      <c r="I307">
        <v>0</v>
      </c>
      <c r="J307">
        <v>5</v>
      </c>
      <c r="K307">
        <v>4</v>
      </c>
      <c r="L307">
        <v>0</v>
      </c>
      <c r="M307">
        <v>664</v>
      </c>
      <c r="N307">
        <v>53799.45</v>
      </c>
      <c r="O307">
        <v>8104.05</v>
      </c>
      <c r="P307">
        <v>1420.89</v>
      </c>
      <c r="Q307">
        <v>41185.56</v>
      </c>
      <c r="R307">
        <v>2071.6</v>
      </c>
      <c r="S307">
        <v>2609.75</v>
      </c>
      <c r="T307">
        <v>0</v>
      </c>
      <c r="U307">
        <v>0</v>
      </c>
      <c r="V307">
        <v>1334.4</v>
      </c>
      <c r="W307">
        <v>0</v>
      </c>
      <c r="X307">
        <v>35169.81</v>
      </c>
      <c r="Y307">
        <v>3088.95</v>
      </c>
      <c r="Z307">
        <v>0</v>
      </c>
      <c r="AA307">
        <v>0</v>
      </c>
      <c r="AB307">
        <v>1812200</v>
      </c>
      <c r="AC307" t="s">
        <v>251</v>
      </c>
    </row>
    <row r="308" spans="1:29" outlineLevel="2" x14ac:dyDescent="0.2">
      <c r="A308">
        <v>506</v>
      </c>
      <c r="B308">
        <v>3945702</v>
      </c>
      <c r="C308">
        <v>39457023</v>
      </c>
      <c r="D308" t="s">
        <v>2138</v>
      </c>
      <c r="E308" t="s">
        <v>2148</v>
      </c>
      <c r="F308">
        <v>812300</v>
      </c>
      <c r="G308" t="s">
        <v>2384</v>
      </c>
      <c r="H308">
        <v>90534</v>
      </c>
      <c r="I308">
        <v>0</v>
      </c>
      <c r="J308">
        <v>5</v>
      </c>
      <c r="K308">
        <v>4</v>
      </c>
      <c r="L308">
        <v>0</v>
      </c>
      <c r="M308">
        <v>83</v>
      </c>
      <c r="N308">
        <v>6301.79</v>
      </c>
      <c r="O308">
        <v>954.3</v>
      </c>
      <c r="P308">
        <v>166.28</v>
      </c>
      <c r="Q308">
        <v>4819.71</v>
      </c>
      <c r="R308">
        <v>258.95</v>
      </c>
      <c r="S308">
        <v>0</v>
      </c>
      <c r="T308">
        <v>0</v>
      </c>
      <c r="U308">
        <v>0</v>
      </c>
      <c r="V308">
        <v>102.65</v>
      </c>
      <c r="W308">
        <v>0</v>
      </c>
      <c r="X308">
        <v>4458.1099999999997</v>
      </c>
      <c r="Y308">
        <v>361.5</v>
      </c>
      <c r="Z308">
        <v>0</v>
      </c>
      <c r="AA308">
        <v>0</v>
      </c>
      <c r="AB308">
        <v>1812300</v>
      </c>
      <c r="AC308" t="s">
        <v>251</v>
      </c>
    </row>
    <row r="309" spans="1:29" outlineLevel="1" x14ac:dyDescent="0.2">
      <c r="B309" s="386" t="s">
        <v>2629</v>
      </c>
      <c r="N309">
        <f>SUBTOTAL(9,N307:N308)</f>
        <v>60101.24</v>
      </c>
    </row>
    <row r="310" spans="1:29" outlineLevel="2" x14ac:dyDescent="0.2">
      <c r="A310">
        <v>506</v>
      </c>
      <c r="B310">
        <v>3980887</v>
      </c>
      <c r="C310">
        <v>39808878</v>
      </c>
      <c r="D310" t="s">
        <v>2283</v>
      </c>
      <c r="E310" t="s">
        <v>2426</v>
      </c>
      <c r="F310">
        <v>817800</v>
      </c>
      <c r="G310" t="s">
        <v>2384</v>
      </c>
      <c r="H310">
        <v>90534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2961.91</v>
      </c>
      <c r="O310">
        <v>321.3</v>
      </c>
      <c r="P310">
        <v>82.11</v>
      </c>
      <c r="Q310">
        <v>2380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2380</v>
      </c>
      <c r="Y310">
        <v>178.5</v>
      </c>
      <c r="Z310">
        <v>0</v>
      </c>
      <c r="AA310">
        <v>0</v>
      </c>
      <c r="AB310">
        <v>1817800</v>
      </c>
      <c r="AC310" t="s">
        <v>251</v>
      </c>
    </row>
    <row r="311" spans="1:29" outlineLevel="1" x14ac:dyDescent="0.2">
      <c r="B311" s="386" t="s">
        <v>2628</v>
      </c>
      <c r="N311">
        <f>SUBTOTAL(9,N310:N310)</f>
        <v>2961.91</v>
      </c>
    </row>
    <row r="312" spans="1:29" outlineLevel="2" x14ac:dyDescent="0.2">
      <c r="A312">
        <v>506</v>
      </c>
      <c r="B312">
        <v>3981145</v>
      </c>
      <c r="C312">
        <v>39811450</v>
      </c>
      <c r="D312" t="s">
        <v>2138</v>
      </c>
      <c r="E312" t="s">
        <v>2248</v>
      </c>
      <c r="F312">
        <v>819000</v>
      </c>
      <c r="G312" t="s">
        <v>2384</v>
      </c>
      <c r="H312">
        <v>90534</v>
      </c>
      <c r="I312">
        <v>0</v>
      </c>
      <c r="J312">
        <v>3</v>
      </c>
      <c r="K312">
        <v>2</v>
      </c>
      <c r="L312">
        <v>0</v>
      </c>
      <c r="M312">
        <v>675</v>
      </c>
      <c r="N312">
        <v>62464.25</v>
      </c>
      <c r="O312">
        <v>9436.2000000000007</v>
      </c>
      <c r="P312">
        <v>1658.08</v>
      </c>
      <c r="Q312">
        <v>47786.01</v>
      </c>
      <c r="R312">
        <v>2106</v>
      </c>
      <c r="S312">
        <v>3994.5</v>
      </c>
      <c r="T312">
        <v>2951.85</v>
      </c>
      <c r="U312">
        <v>0</v>
      </c>
      <c r="V312">
        <v>1635.95</v>
      </c>
      <c r="W312">
        <v>0</v>
      </c>
      <c r="X312">
        <v>37097.71</v>
      </c>
      <c r="Y312">
        <v>3583.96</v>
      </c>
      <c r="Z312">
        <v>0</v>
      </c>
      <c r="AA312">
        <v>0</v>
      </c>
      <c r="AB312">
        <v>1819000</v>
      </c>
      <c r="AC312" t="s">
        <v>251</v>
      </c>
    </row>
    <row r="313" spans="1:29" outlineLevel="2" x14ac:dyDescent="0.2">
      <c r="A313">
        <v>506</v>
      </c>
      <c r="B313">
        <v>3981145</v>
      </c>
      <c r="C313">
        <v>39811450</v>
      </c>
      <c r="D313" t="s">
        <v>2138</v>
      </c>
      <c r="E313" t="s">
        <v>2248</v>
      </c>
      <c r="F313">
        <v>828000</v>
      </c>
      <c r="G313" t="s">
        <v>2384</v>
      </c>
      <c r="H313">
        <v>90534</v>
      </c>
      <c r="I313">
        <v>1</v>
      </c>
      <c r="J313">
        <v>0</v>
      </c>
      <c r="K313">
        <v>0</v>
      </c>
      <c r="L313">
        <v>0</v>
      </c>
      <c r="M313">
        <v>0</v>
      </c>
      <c r="N313">
        <v>832.11</v>
      </c>
      <c r="O313">
        <v>0</v>
      </c>
      <c r="P313">
        <v>25.87</v>
      </c>
      <c r="Q313">
        <v>750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750</v>
      </c>
      <c r="Y313">
        <v>56.24</v>
      </c>
      <c r="Z313">
        <v>0</v>
      </c>
      <c r="AA313">
        <v>0</v>
      </c>
      <c r="AB313">
        <v>1828000</v>
      </c>
      <c r="AC313" t="s">
        <v>251</v>
      </c>
    </row>
    <row r="314" spans="1:29" outlineLevel="1" x14ac:dyDescent="0.2">
      <c r="B314" s="386" t="s">
        <v>2627</v>
      </c>
      <c r="N314">
        <f>SUBTOTAL(9,N312:N313)</f>
        <v>63296.36</v>
      </c>
    </row>
    <row r="315" spans="1:29" outlineLevel="2" x14ac:dyDescent="0.2">
      <c r="A315">
        <v>506</v>
      </c>
      <c r="B315">
        <v>3996233</v>
      </c>
      <c r="C315">
        <v>39962337</v>
      </c>
      <c r="D315" t="s">
        <v>2164</v>
      </c>
      <c r="E315" t="s">
        <v>2169</v>
      </c>
      <c r="F315">
        <v>813201</v>
      </c>
      <c r="G315" t="s">
        <v>2384</v>
      </c>
      <c r="H315">
        <v>90534</v>
      </c>
      <c r="I315">
        <v>0</v>
      </c>
      <c r="J315">
        <v>5</v>
      </c>
      <c r="K315">
        <v>8</v>
      </c>
      <c r="L315">
        <v>0</v>
      </c>
      <c r="M315">
        <v>675</v>
      </c>
      <c r="N315">
        <v>66481.240000000005</v>
      </c>
      <c r="O315">
        <v>9887.2000000000007</v>
      </c>
      <c r="P315">
        <v>1787.92</v>
      </c>
      <c r="Q315">
        <v>50982.37</v>
      </c>
      <c r="R315">
        <v>2245.0500000000002</v>
      </c>
      <c r="S315">
        <v>4739.2</v>
      </c>
      <c r="T315">
        <v>0</v>
      </c>
      <c r="U315">
        <v>0</v>
      </c>
      <c r="V315">
        <v>1831</v>
      </c>
      <c r="W315">
        <v>0</v>
      </c>
      <c r="X315">
        <v>42167.12</v>
      </c>
      <c r="Y315">
        <v>3823.75</v>
      </c>
      <c r="Z315">
        <v>0</v>
      </c>
      <c r="AA315">
        <v>0</v>
      </c>
      <c r="AB315">
        <v>1813201</v>
      </c>
      <c r="AC315" t="s">
        <v>251</v>
      </c>
    </row>
    <row r="316" spans="1:29" outlineLevel="1" x14ac:dyDescent="0.2">
      <c r="B316" s="386" t="s">
        <v>2626</v>
      </c>
      <c r="N316">
        <f>SUBTOTAL(9,N315:N315)</f>
        <v>66481.240000000005</v>
      </c>
    </row>
    <row r="317" spans="1:29" outlineLevel="2" x14ac:dyDescent="0.2">
      <c r="A317">
        <v>506</v>
      </c>
      <c r="B317">
        <v>4008443</v>
      </c>
      <c r="C317">
        <v>40084436</v>
      </c>
      <c r="D317" t="s">
        <v>2230</v>
      </c>
      <c r="E317" t="s">
        <v>2293</v>
      </c>
      <c r="F317">
        <v>813300</v>
      </c>
      <c r="G317" t="s">
        <v>2384</v>
      </c>
      <c r="H317">
        <v>90534</v>
      </c>
      <c r="I317">
        <v>1</v>
      </c>
      <c r="J317">
        <v>0</v>
      </c>
      <c r="K317">
        <v>0</v>
      </c>
      <c r="L317">
        <v>0</v>
      </c>
      <c r="M317">
        <v>0</v>
      </c>
      <c r="N317">
        <v>34164.269999999997</v>
      </c>
      <c r="O317">
        <v>5174.6499999999996</v>
      </c>
      <c r="P317">
        <v>901.42</v>
      </c>
      <c r="Q317">
        <v>26128.6</v>
      </c>
      <c r="R317">
        <v>0</v>
      </c>
      <c r="S317">
        <v>2503.1999999999998</v>
      </c>
      <c r="T317">
        <v>0</v>
      </c>
      <c r="U317">
        <v>0</v>
      </c>
      <c r="V317">
        <v>1287.7</v>
      </c>
      <c r="W317">
        <v>0</v>
      </c>
      <c r="X317">
        <v>22337.7</v>
      </c>
      <c r="Y317">
        <v>1959.6</v>
      </c>
      <c r="Z317">
        <v>0</v>
      </c>
      <c r="AA317">
        <v>0</v>
      </c>
      <c r="AB317">
        <v>1813300</v>
      </c>
      <c r="AC317" t="s">
        <v>251</v>
      </c>
    </row>
    <row r="318" spans="1:29" outlineLevel="2" x14ac:dyDescent="0.2">
      <c r="A318">
        <v>506</v>
      </c>
      <c r="B318">
        <v>4008443</v>
      </c>
      <c r="C318">
        <v>40084436</v>
      </c>
      <c r="D318" t="s">
        <v>2230</v>
      </c>
      <c r="E318" t="s">
        <v>2293</v>
      </c>
      <c r="F318">
        <v>813301</v>
      </c>
      <c r="G318" t="s">
        <v>2384</v>
      </c>
      <c r="H318">
        <v>90534</v>
      </c>
      <c r="I318">
        <v>1</v>
      </c>
      <c r="J318">
        <v>0</v>
      </c>
      <c r="K318">
        <v>0</v>
      </c>
      <c r="L318">
        <v>0</v>
      </c>
      <c r="M318">
        <v>0</v>
      </c>
      <c r="N318">
        <v>1745.98</v>
      </c>
      <c r="O318">
        <v>262.5</v>
      </c>
      <c r="P318">
        <v>46.13</v>
      </c>
      <c r="Q318">
        <v>1337.05</v>
      </c>
      <c r="R318">
        <v>0</v>
      </c>
      <c r="S318">
        <v>0</v>
      </c>
      <c r="T318">
        <v>0</v>
      </c>
      <c r="U318">
        <v>0</v>
      </c>
      <c r="V318">
        <v>87.15</v>
      </c>
      <c r="W318">
        <v>0</v>
      </c>
      <c r="X318">
        <v>1249.9000000000001</v>
      </c>
      <c r="Y318">
        <v>100.3</v>
      </c>
      <c r="Z318">
        <v>0</v>
      </c>
      <c r="AA318">
        <v>0</v>
      </c>
      <c r="AB318">
        <v>1813301</v>
      </c>
      <c r="AC318" t="s">
        <v>251</v>
      </c>
    </row>
    <row r="319" spans="1:29" outlineLevel="1" x14ac:dyDescent="0.2">
      <c r="B319" s="386" t="s">
        <v>2625</v>
      </c>
      <c r="N319">
        <f>SUBTOTAL(9,N317:N318)</f>
        <v>35910.25</v>
      </c>
    </row>
    <row r="320" spans="1:29" outlineLevel="2" x14ac:dyDescent="0.2">
      <c r="A320">
        <v>506</v>
      </c>
      <c r="B320">
        <v>4049682</v>
      </c>
      <c r="C320">
        <v>40496820</v>
      </c>
      <c r="D320" t="s">
        <v>2407</v>
      </c>
      <c r="E320" t="s">
        <v>2408</v>
      </c>
      <c r="F320">
        <v>815200</v>
      </c>
      <c r="G320" t="s">
        <v>2384</v>
      </c>
      <c r="H320">
        <v>90534</v>
      </c>
      <c r="I320">
        <v>0</v>
      </c>
      <c r="J320">
        <v>93</v>
      </c>
      <c r="K320">
        <v>1</v>
      </c>
      <c r="L320">
        <v>0</v>
      </c>
      <c r="M320">
        <v>1000</v>
      </c>
      <c r="N320">
        <v>172823.06</v>
      </c>
      <c r="O320">
        <v>23517.08</v>
      </c>
      <c r="P320">
        <v>8299.74</v>
      </c>
      <c r="Q320">
        <v>131034.86</v>
      </c>
      <c r="R320">
        <v>4176</v>
      </c>
      <c r="S320">
        <v>4478</v>
      </c>
      <c r="T320">
        <v>23938.6</v>
      </c>
      <c r="U320">
        <v>0</v>
      </c>
      <c r="V320">
        <v>1231.1500000000001</v>
      </c>
      <c r="W320">
        <v>0</v>
      </c>
      <c r="X320">
        <v>97211.11</v>
      </c>
      <c r="Y320">
        <v>9971.3799999999992</v>
      </c>
      <c r="Z320">
        <v>0</v>
      </c>
      <c r="AA320">
        <v>0</v>
      </c>
      <c r="AB320">
        <v>1815200</v>
      </c>
      <c r="AC320" t="s">
        <v>251</v>
      </c>
    </row>
    <row r="321" spans="1:29" outlineLevel="2" x14ac:dyDescent="0.2">
      <c r="A321">
        <v>506</v>
      </c>
      <c r="B321">
        <v>4049682</v>
      </c>
      <c r="C321">
        <v>40496820</v>
      </c>
      <c r="D321" t="s">
        <v>2407</v>
      </c>
      <c r="E321" t="s">
        <v>2408</v>
      </c>
      <c r="F321">
        <v>817800</v>
      </c>
      <c r="G321" t="s">
        <v>2384</v>
      </c>
      <c r="H321">
        <v>90534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32830.39</v>
      </c>
      <c r="O321">
        <v>5285.27</v>
      </c>
      <c r="P321">
        <v>1601.1</v>
      </c>
      <c r="Q321">
        <v>24134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24134</v>
      </c>
      <c r="Y321">
        <v>1810.02</v>
      </c>
      <c r="Z321">
        <v>0</v>
      </c>
      <c r="AA321">
        <v>0</v>
      </c>
      <c r="AB321">
        <v>1817800</v>
      </c>
      <c r="AC321" t="s">
        <v>251</v>
      </c>
    </row>
    <row r="322" spans="1:29" outlineLevel="1" x14ac:dyDescent="0.2">
      <c r="B322" s="386" t="s">
        <v>2624</v>
      </c>
      <c r="N322">
        <f>SUBTOTAL(9,N320:N321)</f>
        <v>205653.45</v>
      </c>
    </row>
    <row r="323" spans="1:29" outlineLevel="2" x14ac:dyDescent="0.2">
      <c r="A323">
        <v>506</v>
      </c>
      <c r="B323">
        <v>4051702</v>
      </c>
      <c r="C323">
        <v>40517021</v>
      </c>
      <c r="D323" t="s">
        <v>2283</v>
      </c>
      <c r="E323" t="s">
        <v>2319</v>
      </c>
      <c r="F323">
        <v>815200</v>
      </c>
      <c r="G323" t="s">
        <v>2384</v>
      </c>
      <c r="H323">
        <v>90534</v>
      </c>
      <c r="I323">
        <v>0</v>
      </c>
      <c r="J323">
        <v>73</v>
      </c>
      <c r="K323">
        <v>2</v>
      </c>
      <c r="L323">
        <v>0</v>
      </c>
      <c r="M323">
        <v>200</v>
      </c>
      <c r="N323">
        <v>16154.83</v>
      </c>
      <c r="O323">
        <v>1611.65</v>
      </c>
      <c r="P323">
        <v>502.32</v>
      </c>
      <c r="Q323">
        <v>12948.81</v>
      </c>
      <c r="R323">
        <v>624</v>
      </c>
      <c r="S323">
        <v>0</v>
      </c>
      <c r="T323">
        <v>518</v>
      </c>
      <c r="U323">
        <v>0</v>
      </c>
      <c r="V323">
        <v>387.7</v>
      </c>
      <c r="W323">
        <v>0</v>
      </c>
      <c r="X323">
        <v>11419.11</v>
      </c>
      <c r="Y323">
        <v>1092.05</v>
      </c>
      <c r="Z323">
        <v>0</v>
      </c>
      <c r="AA323">
        <v>0</v>
      </c>
      <c r="AB323">
        <v>1815200</v>
      </c>
      <c r="AC323" t="s">
        <v>251</v>
      </c>
    </row>
    <row r="324" spans="1:29" outlineLevel="1" x14ac:dyDescent="0.2">
      <c r="B324" s="386" t="s">
        <v>2623</v>
      </c>
      <c r="N324">
        <f>SUBTOTAL(9,N323:N323)</f>
        <v>16154.83</v>
      </c>
    </row>
    <row r="325" spans="1:29" outlineLevel="2" x14ac:dyDescent="0.2">
      <c r="A325">
        <v>506</v>
      </c>
      <c r="B325">
        <v>4051824</v>
      </c>
      <c r="C325">
        <v>40518243</v>
      </c>
      <c r="D325" t="s">
        <v>2427</v>
      </c>
      <c r="E325" t="s">
        <v>2428</v>
      </c>
      <c r="F325">
        <v>817800</v>
      </c>
      <c r="G325" t="s">
        <v>2384</v>
      </c>
      <c r="H325">
        <v>90534</v>
      </c>
      <c r="I325">
        <v>1</v>
      </c>
      <c r="J325">
        <v>0</v>
      </c>
      <c r="K325">
        <v>0</v>
      </c>
      <c r="L325">
        <v>0</v>
      </c>
      <c r="M325">
        <v>0</v>
      </c>
      <c r="N325">
        <v>5955.28</v>
      </c>
      <c r="O325">
        <v>614.29999999999995</v>
      </c>
      <c r="P325">
        <v>185.18</v>
      </c>
      <c r="Q325">
        <v>4753.3</v>
      </c>
      <c r="R325">
        <v>0</v>
      </c>
      <c r="S325">
        <v>0</v>
      </c>
      <c r="T325">
        <v>0</v>
      </c>
      <c r="U325">
        <v>0</v>
      </c>
      <c r="V325">
        <v>203.3</v>
      </c>
      <c r="W325">
        <v>0</v>
      </c>
      <c r="X325">
        <v>4550</v>
      </c>
      <c r="Y325">
        <v>402.5</v>
      </c>
      <c r="Z325">
        <v>0</v>
      </c>
      <c r="AA325">
        <v>0</v>
      </c>
      <c r="AB325">
        <v>1817800</v>
      </c>
      <c r="AC325" t="s">
        <v>251</v>
      </c>
    </row>
    <row r="326" spans="1:29" outlineLevel="1" x14ac:dyDescent="0.2">
      <c r="B326" s="386" t="s">
        <v>2622</v>
      </c>
      <c r="N326">
        <f>SUBTOTAL(9,N325:N325)</f>
        <v>5955.28</v>
      </c>
    </row>
    <row r="327" spans="1:29" outlineLevel="2" x14ac:dyDescent="0.2">
      <c r="A327">
        <v>506</v>
      </c>
      <c r="B327">
        <v>4052129</v>
      </c>
      <c r="C327">
        <v>40521296</v>
      </c>
      <c r="D327" t="s">
        <v>2119</v>
      </c>
      <c r="E327" t="s">
        <v>2120</v>
      </c>
      <c r="F327">
        <v>812200</v>
      </c>
      <c r="G327" t="s">
        <v>2384</v>
      </c>
      <c r="H327">
        <v>90534</v>
      </c>
      <c r="I327">
        <v>0</v>
      </c>
      <c r="J327">
        <v>5</v>
      </c>
      <c r="K327">
        <v>4</v>
      </c>
      <c r="L327">
        <v>0</v>
      </c>
      <c r="M327">
        <v>664</v>
      </c>
      <c r="N327">
        <v>59157.1</v>
      </c>
      <c r="O327">
        <v>8830.5499999999993</v>
      </c>
      <c r="P327">
        <v>1591.64</v>
      </c>
      <c r="Q327">
        <v>45334.81</v>
      </c>
      <c r="R327">
        <v>2071.6</v>
      </c>
      <c r="S327">
        <v>3834.7</v>
      </c>
      <c r="T327">
        <v>0</v>
      </c>
      <c r="U327">
        <v>0</v>
      </c>
      <c r="V327">
        <v>1216.8</v>
      </c>
      <c r="W327">
        <v>0</v>
      </c>
      <c r="X327">
        <v>38211.71</v>
      </c>
      <c r="Y327">
        <v>3400.1</v>
      </c>
      <c r="Z327">
        <v>0</v>
      </c>
      <c r="AA327">
        <v>0</v>
      </c>
      <c r="AB327">
        <v>1812200</v>
      </c>
      <c r="AC327" t="s">
        <v>251</v>
      </c>
    </row>
    <row r="328" spans="1:29" outlineLevel="2" x14ac:dyDescent="0.2">
      <c r="A328">
        <v>506</v>
      </c>
      <c r="B328">
        <v>4052129</v>
      </c>
      <c r="C328">
        <v>40521296</v>
      </c>
      <c r="D328" t="s">
        <v>2119</v>
      </c>
      <c r="E328" t="s">
        <v>2120</v>
      </c>
      <c r="F328">
        <v>812301</v>
      </c>
      <c r="G328" t="s">
        <v>2384</v>
      </c>
      <c r="H328">
        <v>90534</v>
      </c>
      <c r="I328">
        <v>0</v>
      </c>
      <c r="J328">
        <v>5</v>
      </c>
      <c r="K328">
        <v>4</v>
      </c>
      <c r="L328">
        <v>0</v>
      </c>
      <c r="M328">
        <v>83</v>
      </c>
      <c r="N328">
        <v>6662.67</v>
      </c>
      <c r="O328">
        <v>1010.45</v>
      </c>
      <c r="P328">
        <v>175.76</v>
      </c>
      <c r="Q328">
        <v>5094.3599999999997</v>
      </c>
      <c r="R328">
        <v>258.95</v>
      </c>
      <c r="S328">
        <v>0</v>
      </c>
      <c r="T328">
        <v>0</v>
      </c>
      <c r="U328">
        <v>0</v>
      </c>
      <c r="V328">
        <v>112.35</v>
      </c>
      <c r="W328">
        <v>0</v>
      </c>
      <c r="X328">
        <v>4723.0600000000004</v>
      </c>
      <c r="Y328">
        <v>382.1</v>
      </c>
      <c r="Z328">
        <v>0</v>
      </c>
      <c r="AA328">
        <v>0</v>
      </c>
      <c r="AB328">
        <v>1812301</v>
      </c>
      <c r="AC328" t="s">
        <v>251</v>
      </c>
    </row>
    <row r="329" spans="1:29" outlineLevel="1" x14ac:dyDescent="0.2">
      <c r="B329" s="386" t="s">
        <v>2621</v>
      </c>
      <c r="N329">
        <f>SUBTOTAL(9,N327:N328)</f>
        <v>65819.77</v>
      </c>
    </row>
    <row r="330" spans="1:29" outlineLevel="2" x14ac:dyDescent="0.2">
      <c r="A330">
        <v>506</v>
      </c>
      <c r="B330">
        <v>4054830</v>
      </c>
      <c r="C330">
        <v>40548307</v>
      </c>
      <c r="D330" t="s">
        <v>1709</v>
      </c>
      <c r="E330" t="s">
        <v>2409</v>
      </c>
      <c r="F330">
        <v>815200</v>
      </c>
      <c r="G330" t="s">
        <v>2384</v>
      </c>
      <c r="H330">
        <v>90534</v>
      </c>
      <c r="I330">
        <v>0</v>
      </c>
      <c r="J330">
        <v>93</v>
      </c>
      <c r="K330">
        <v>2</v>
      </c>
      <c r="L330">
        <v>0</v>
      </c>
      <c r="M330">
        <v>443.5</v>
      </c>
      <c r="N330">
        <v>31219.33</v>
      </c>
      <c r="O330">
        <v>0</v>
      </c>
      <c r="P330">
        <v>970.74</v>
      </c>
      <c r="Q330">
        <v>28138.14</v>
      </c>
      <c r="R330">
        <v>1383.75</v>
      </c>
      <c r="S330">
        <v>0</v>
      </c>
      <c r="T330">
        <v>1356</v>
      </c>
      <c r="U330">
        <v>0</v>
      </c>
      <c r="V330">
        <v>806.25</v>
      </c>
      <c r="W330">
        <v>0</v>
      </c>
      <c r="X330">
        <v>24592.14</v>
      </c>
      <c r="Y330">
        <v>2110.4499999999998</v>
      </c>
      <c r="Z330">
        <v>0</v>
      </c>
      <c r="AA330">
        <v>0</v>
      </c>
      <c r="AB330">
        <v>1815200</v>
      </c>
      <c r="AC330" t="s">
        <v>251</v>
      </c>
    </row>
    <row r="331" spans="1:29" outlineLevel="1" x14ac:dyDescent="0.2">
      <c r="B331" s="386" t="s">
        <v>2620</v>
      </c>
      <c r="N331">
        <f>SUBTOTAL(9,N330:N330)</f>
        <v>31219.33</v>
      </c>
    </row>
    <row r="332" spans="1:29" outlineLevel="2" x14ac:dyDescent="0.2">
      <c r="A332">
        <v>506</v>
      </c>
      <c r="B332">
        <v>4093593</v>
      </c>
      <c r="C332">
        <v>40935934</v>
      </c>
      <c r="D332" t="s">
        <v>2129</v>
      </c>
      <c r="E332" t="s">
        <v>1128</v>
      </c>
      <c r="F332">
        <v>812507</v>
      </c>
      <c r="G332" t="s">
        <v>2384</v>
      </c>
      <c r="H332">
        <v>90534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1475.21</v>
      </c>
      <c r="O332">
        <v>234.79</v>
      </c>
      <c r="P332">
        <v>38.57</v>
      </c>
      <c r="Q332">
        <v>1118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1118</v>
      </c>
      <c r="Y332">
        <v>83.85</v>
      </c>
      <c r="Z332">
        <v>0</v>
      </c>
      <c r="AA332">
        <v>0</v>
      </c>
      <c r="AB332">
        <v>1812507</v>
      </c>
      <c r="AC332" t="s">
        <v>251</v>
      </c>
    </row>
    <row r="333" spans="1:29" outlineLevel="2" x14ac:dyDescent="0.2">
      <c r="A333">
        <v>506</v>
      </c>
      <c r="B333">
        <v>4093593</v>
      </c>
      <c r="C333">
        <v>40935934</v>
      </c>
      <c r="D333" t="s">
        <v>2129</v>
      </c>
      <c r="E333" t="s">
        <v>1128</v>
      </c>
      <c r="F333">
        <v>813300</v>
      </c>
      <c r="G333" t="s">
        <v>2384</v>
      </c>
      <c r="H333">
        <v>90534</v>
      </c>
      <c r="I333">
        <v>1</v>
      </c>
      <c r="J333">
        <v>0</v>
      </c>
      <c r="K333">
        <v>0</v>
      </c>
      <c r="L333">
        <v>0</v>
      </c>
      <c r="M333">
        <v>0</v>
      </c>
      <c r="N333">
        <v>36364.769999999997</v>
      </c>
      <c r="O333">
        <v>4071.65</v>
      </c>
      <c r="P333">
        <v>1004.17</v>
      </c>
      <c r="Q333">
        <v>29106</v>
      </c>
      <c r="R333">
        <v>0</v>
      </c>
      <c r="S333">
        <v>3195.6</v>
      </c>
      <c r="T333">
        <v>0</v>
      </c>
      <c r="U333">
        <v>0</v>
      </c>
      <c r="V333">
        <v>1045.6500000000001</v>
      </c>
      <c r="W333">
        <v>0</v>
      </c>
      <c r="X333">
        <v>24864.75</v>
      </c>
      <c r="Y333">
        <v>2182.9499999999998</v>
      </c>
      <c r="Z333">
        <v>0</v>
      </c>
      <c r="AA333">
        <v>0</v>
      </c>
      <c r="AB333">
        <v>1813300</v>
      </c>
      <c r="AC333" t="s">
        <v>251</v>
      </c>
    </row>
    <row r="334" spans="1:29" outlineLevel="2" x14ac:dyDescent="0.2">
      <c r="A334">
        <v>506</v>
      </c>
      <c r="B334">
        <v>4093593</v>
      </c>
      <c r="C334">
        <v>40935934</v>
      </c>
      <c r="D334" t="s">
        <v>2129</v>
      </c>
      <c r="E334" t="s">
        <v>1128</v>
      </c>
      <c r="F334">
        <v>813340</v>
      </c>
      <c r="G334" t="s">
        <v>2384</v>
      </c>
      <c r="H334">
        <v>90534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511.56</v>
      </c>
      <c r="O334">
        <v>67.760000000000005</v>
      </c>
      <c r="P334">
        <v>13.8</v>
      </c>
      <c r="Q334">
        <v>400</v>
      </c>
      <c r="R334">
        <v>0</v>
      </c>
      <c r="S334">
        <v>0</v>
      </c>
      <c r="T334">
        <v>0</v>
      </c>
      <c r="U334">
        <v>0</v>
      </c>
      <c r="V334">
        <v>77.45</v>
      </c>
      <c r="W334">
        <v>0</v>
      </c>
      <c r="X334">
        <v>322.55</v>
      </c>
      <c r="Y334">
        <v>30</v>
      </c>
      <c r="Z334">
        <v>0</v>
      </c>
      <c r="AA334">
        <v>0</v>
      </c>
      <c r="AB334">
        <v>1813340</v>
      </c>
      <c r="AC334" t="s">
        <v>251</v>
      </c>
    </row>
    <row r="335" spans="1:29" outlineLevel="1" x14ac:dyDescent="0.2">
      <c r="B335" s="386" t="s">
        <v>2619</v>
      </c>
      <c r="N335">
        <f>SUBTOTAL(9,N332:N334)</f>
        <v>38351.539999999994</v>
      </c>
    </row>
    <row r="336" spans="1:29" outlineLevel="2" x14ac:dyDescent="0.2">
      <c r="A336">
        <v>506</v>
      </c>
      <c r="B336">
        <v>4170763</v>
      </c>
      <c r="C336">
        <v>41707639</v>
      </c>
      <c r="D336" t="s">
        <v>1419</v>
      </c>
      <c r="E336" t="s">
        <v>2120</v>
      </c>
      <c r="F336">
        <v>815200</v>
      </c>
      <c r="G336" t="s">
        <v>2384</v>
      </c>
      <c r="H336">
        <v>90534</v>
      </c>
      <c r="I336">
        <v>0</v>
      </c>
      <c r="J336">
        <v>93</v>
      </c>
      <c r="K336">
        <v>2</v>
      </c>
      <c r="L336">
        <v>0</v>
      </c>
      <c r="M336">
        <v>400</v>
      </c>
      <c r="N336">
        <v>46583.360000000001</v>
      </c>
      <c r="O336">
        <v>6111.35</v>
      </c>
      <c r="P336">
        <v>1258.51</v>
      </c>
      <c r="Q336">
        <v>36477.65</v>
      </c>
      <c r="R336">
        <v>1248</v>
      </c>
      <c r="S336">
        <v>0</v>
      </c>
      <c r="T336">
        <v>4118.3999999999996</v>
      </c>
      <c r="U336">
        <v>0</v>
      </c>
      <c r="V336">
        <v>688.2</v>
      </c>
      <c r="W336">
        <v>0</v>
      </c>
      <c r="X336">
        <v>30423.05</v>
      </c>
      <c r="Y336">
        <v>2735.85</v>
      </c>
      <c r="Z336">
        <v>0</v>
      </c>
      <c r="AA336">
        <v>0</v>
      </c>
      <c r="AB336">
        <v>1815200</v>
      </c>
      <c r="AC336" t="s">
        <v>251</v>
      </c>
    </row>
    <row r="337" spans="1:29" outlineLevel="1" x14ac:dyDescent="0.2">
      <c r="B337" s="386" t="s">
        <v>2618</v>
      </c>
      <c r="N337">
        <f>SUBTOTAL(9,N336:N336)</f>
        <v>46583.360000000001</v>
      </c>
    </row>
    <row r="338" spans="1:29" outlineLevel="2" x14ac:dyDescent="0.2">
      <c r="A338">
        <v>506</v>
      </c>
      <c r="B338">
        <v>4170918</v>
      </c>
      <c r="C338">
        <v>41709189</v>
      </c>
      <c r="D338" t="s">
        <v>1709</v>
      </c>
      <c r="E338" t="s">
        <v>2282</v>
      </c>
      <c r="F338">
        <v>811000</v>
      </c>
      <c r="G338" t="s">
        <v>2384</v>
      </c>
      <c r="H338">
        <v>90534</v>
      </c>
      <c r="I338">
        <v>0</v>
      </c>
      <c r="J338">
        <v>5</v>
      </c>
      <c r="K338">
        <v>7</v>
      </c>
      <c r="L338">
        <v>0</v>
      </c>
      <c r="M338">
        <v>900</v>
      </c>
      <c r="N338">
        <v>80607.03</v>
      </c>
      <c r="O338">
        <v>12244.35</v>
      </c>
      <c r="P338">
        <v>2480.86</v>
      </c>
      <c r="Q338">
        <v>61285.42</v>
      </c>
      <c r="R338">
        <v>0</v>
      </c>
      <c r="S338">
        <v>5750</v>
      </c>
      <c r="T338">
        <v>0</v>
      </c>
      <c r="U338">
        <v>0</v>
      </c>
      <c r="V338">
        <v>1976.85</v>
      </c>
      <c r="W338">
        <v>0</v>
      </c>
      <c r="X338">
        <v>53558.57</v>
      </c>
      <c r="Y338">
        <v>4596.3999999999996</v>
      </c>
      <c r="Z338">
        <v>0</v>
      </c>
      <c r="AA338">
        <v>0</v>
      </c>
      <c r="AB338">
        <v>1811000</v>
      </c>
      <c r="AC338" t="s">
        <v>251</v>
      </c>
    </row>
    <row r="339" spans="1:29" outlineLevel="1" x14ac:dyDescent="0.2">
      <c r="B339" s="386" t="s">
        <v>2617</v>
      </c>
      <c r="N339">
        <f>SUBTOTAL(9,N338:N338)</f>
        <v>80607.03</v>
      </c>
    </row>
    <row r="340" spans="1:29" outlineLevel="2" x14ac:dyDescent="0.2">
      <c r="A340">
        <v>506</v>
      </c>
      <c r="B340">
        <v>5043571</v>
      </c>
      <c r="C340">
        <v>50435718</v>
      </c>
      <c r="D340" t="s">
        <v>2224</v>
      </c>
      <c r="E340" t="s">
        <v>2171</v>
      </c>
      <c r="F340">
        <v>814000</v>
      </c>
      <c r="G340" t="s">
        <v>2384</v>
      </c>
      <c r="H340">
        <v>90534</v>
      </c>
      <c r="I340">
        <v>0</v>
      </c>
      <c r="J340">
        <v>5</v>
      </c>
      <c r="K340">
        <v>37</v>
      </c>
      <c r="L340">
        <v>0</v>
      </c>
      <c r="M340">
        <v>450</v>
      </c>
      <c r="N340">
        <v>49631.48</v>
      </c>
      <c r="O340">
        <v>3836.15</v>
      </c>
      <c r="P340">
        <v>16.23</v>
      </c>
      <c r="Q340">
        <v>42585.2</v>
      </c>
      <c r="R340">
        <v>0</v>
      </c>
      <c r="S340">
        <v>4062.2</v>
      </c>
      <c r="T340">
        <v>0</v>
      </c>
      <c r="U340">
        <v>0</v>
      </c>
      <c r="V340">
        <v>1298.3</v>
      </c>
      <c r="W340">
        <v>0</v>
      </c>
      <c r="X340">
        <v>37224.699999999997</v>
      </c>
      <c r="Y340">
        <v>3193.9</v>
      </c>
      <c r="Z340">
        <v>0</v>
      </c>
      <c r="AA340">
        <v>0</v>
      </c>
      <c r="AB340">
        <v>1814000</v>
      </c>
      <c r="AC340" t="s">
        <v>251</v>
      </c>
    </row>
    <row r="341" spans="1:29" outlineLevel="1" x14ac:dyDescent="0.2">
      <c r="B341" s="386" t="s">
        <v>2616</v>
      </c>
      <c r="N341">
        <f>SUBTOTAL(9,N340:N340)</f>
        <v>49631.48</v>
      </c>
    </row>
    <row r="342" spans="1:29" outlineLevel="2" x14ac:dyDescent="0.2">
      <c r="A342">
        <v>506</v>
      </c>
      <c r="B342">
        <v>5049194</v>
      </c>
      <c r="C342">
        <v>50491943</v>
      </c>
      <c r="D342" t="s">
        <v>2357</v>
      </c>
      <c r="E342" t="s">
        <v>2358</v>
      </c>
      <c r="F342">
        <v>996000</v>
      </c>
      <c r="G342" t="s">
        <v>2384</v>
      </c>
      <c r="H342">
        <v>90534</v>
      </c>
      <c r="I342">
        <v>3</v>
      </c>
      <c r="J342">
        <v>77</v>
      </c>
      <c r="K342">
        <v>44</v>
      </c>
      <c r="L342">
        <v>0</v>
      </c>
      <c r="M342">
        <v>364.5</v>
      </c>
      <c r="N342">
        <v>50449.7</v>
      </c>
      <c r="O342">
        <v>0</v>
      </c>
      <c r="P342">
        <v>0</v>
      </c>
      <c r="Q342">
        <v>46930.1</v>
      </c>
      <c r="R342">
        <v>0</v>
      </c>
      <c r="S342">
        <v>858.6</v>
      </c>
      <c r="T342">
        <v>46071.5</v>
      </c>
      <c r="U342">
        <v>0</v>
      </c>
      <c r="V342">
        <v>0</v>
      </c>
      <c r="W342">
        <v>0</v>
      </c>
      <c r="X342">
        <v>0</v>
      </c>
      <c r="Y342">
        <v>3519.6</v>
      </c>
      <c r="Z342">
        <v>0</v>
      </c>
      <c r="AA342">
        <v>0</v>
      </c>
      <c r="AB342">
        <v>1996000</v>
      </c>
      <c r="AC342" t="s">
        <v>251</v>
      </c>
    </row>
    <row r="343" spans="1:29" outlineLevel="1" x14ac:dyDescent="0.2">
      <c r="B343" s="386" t="s">
        <v>2615</v>
      </c>
      <c r="N343">
        <f>SUBTOTAL(9,N342:N342)</f>
        <v>50449.7</v>
      </c>
    </row>
    <row r="344" spans="1:29" outlineLevel="2" x14ac:dyDescent="0.2">
      <c r="A344">
        <v>506</v>
      </c>
      <c r="B344">
        <v>5078583</v>
      </c>
      <c r="C344">
        <v>50785831</v>
      </c>
      <c r="D344" t="s">
        <v>2230</v>
      </c>
      <c r="E344" t="s">
        <v>2359</v>
      </c>
      <c r="F344">
        <v>996000</v>
      </c>
      <c r="G344" t="s">
        <v>2384</v>
      </c>
      <c r="H344">
        <v>90534</v>
      </c>
      <c r="I344">
        <v>3</v>
      </c>
      <c r="J344">
        <v>5</v>
      </c>
      <c r="K344">
        <v>10</v>
      </c>
      <c r="L344">
        <v>0</v>
      </c>
      <c r="M344">
        <v>585</v>
      </c>
      <c r="N344">
        <v>33564.800000000003</v>
      </c>
      <c r="O344">
        <v>0</v>
      </c>
      <c r="P344">
        <v>0</v>
      </c>
      <c r="Q344">
        <v>33564.800000000003</v>
      </c>
      <c r="R344">
        <v>0</v>
      </c>
      <c r="S344">
        <v>0</v>
      </c>
      <c r="T344">
        <v>33564.800000000003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1996000</v>
      </c>
      <c r="AC344" t="s">
        <v>251</v>
      </c>
    </row>
    <row r="345" spans="1:29" outlineLevel="1" x14ac:dyDescent="0.2">
      <c r="B345" s="386" t="s">
        <v>2614</v>
      </c>
      <c r="N345">
        <f>SUBTOTAL(9,N344:N344)</f>
        <v>33564.800000000003</v>
      </c>
    </row>
    <row r="346" spans="1:29" outlineLevel="2" x14ac:dyDescent="0.2">
      <c r="A346">
        <v>506</v>
      </c>
      <c r="B346">
        <v>5078925</v>
      </c>
      <c r="C346">
        <v>50789254</v>
      </c>
      <c r="D346" t="s">
        <v>2360</v>
      </c>
      <c r="E346" t="s">
        <v>2361</v>
      </c>
      <c r="F346">
        <v>817600</v>
      </c>
      <c r="G346" t="s">
        <v>2384</v>
      </c>
      <c r="H346">
        <v>90534</v>
      </c>
      <c r="I346">
        <v>0</v>
      </c>
      <c r="J346">
        <v>5</v>
      </c>
      <c r="K346">
        <v>37</v>
      </c>
      <c r="L346">
        <v>0</v>
      </c>
      <c r="M346">
        <v>615.70000000000005</v>
      </c>
      <c r="N346">
        <v>37562.44</v>
      </c>
      <c r="O346">
        <v>3044.1</v>
      </c>
      <c r="P346">
        <v>1001.52</v>
      </c>
      <c r="Q346">
        <v>31178.37</v>
      </c>
      <c r="R346">
        <v>0</v>
      </c>
      <c r="S346">
        <v>5476.35</v>
      </c>
      <c r="T346">
        <v>0</v>
      </c>
      <c r="U346">
        <v>0</v>
      </c>
      <c r="V346">
        <v>-14.65</v>
      </c>
      <c r="W346">
        <v>0</v>
      </c>
      <c r="X346">
        <v>25716.67</v>
      </c>
      <c r="Y346">
        <v>2338.4499999999998</v>
      </c>
      <c r="Z346">
        <v>0</v>
      </c>
      <c r="AA346">
        <v>0</v>
      </c>
      <c r="AB346">
        <v>1817600</v>
      </c>
      <c r="AC346" t="s">
        <v>251</v>
      </c>
    </row>
    <row r="347" spans="1:29" outlineLevel="2" x14ac:dyDescent="0.2">
      <c r="A347">
        <v>506</v>
      </c>
      <c r="B347">
        <v>5078925</v>
      </c>
      <c r="C347">
        <v>50789254</v>
      </c>
      <c r="D347" t="s">
        <v>2360</v>
      </c>
      <c r="E347" t="s">
        <v>2361</v>
      </c>
      <c r="F347">
        <v>996000</v>
      </c>
      <c r="G347" t="s">
        <v>2384</v>
      </c>
      <c r="H347">
        <v>90534</v>
      </c>
      <c r="I347">
        <v>1</v>
      </c>
      <c r="J347">
        <v>0</v>
      </c>
      <c r="K347">
        <v>0</v>
      </c>
      <c r="L347">
        <v>0</v>
      </c>
      <c r="M347">
        <v>0</v>
      </c>
      <c r="N347">
        <v>2595.8000000000002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181.1</v>
      </c>
      <c r="Z347">
        <v>0</v>
      </c>
      <c r="AA347">
        <v>0</v>
      </c>
      <c r="AB347">
        <v>1996000</v>
      </c>
      <c r="AC347" t="s">
        <v>251</v>
      </c>
    </row>
    <row r="348" spans="1:29" outlineLevel="1" x14ac:dyDescent="0.2">
      <c r="B348" s="386" t="s">
        <v>2613</v>
      </c>
      <c r="N348">
        <f>SUBTOTAL(9,N346:N347)</f>
        <v>40158.240000000005</v>
      </c>
    </row>
    <row r="349" spans="1:29" outlineLevel="2" x14ac:dyDescent="0.2">
      <c r="A349">
        <v>506</v>
      </c>
      <c r="B349">
        <v>5079682</v>
      </c>
      <c r="C349">
        <v>50796820</v>
      </c>
      <c r="D349" t="s">
        <v>2170</v>
      </c>
      <c r="E349" t="s">
        <v>2302</v>
      </c>
      <c r="F349">
        <v>829000</v>
      </c>
      <c r="G349" t="s">
        <v>2384</v>
      </c>
      <c r="H349">
        <v>90534</v>
      </c>
      <c r="I349">
        <v>0</v>
      </c>
      <c r="J349">
        <v>5</v>
      </c>
      <c r="K349">
        <v>9</v>
      </c>
      <c r="L349">
        <v>0</v>
      </c>
      <c r="M349">
        <v>900</v>
      </c>
      <c r="N349">
        <v>85443.91</v>
      </c>
      <c r="O349">
        <v>12443.15</v>
      </c>
      <c r="P349">
        <v>2697.84</v>
      </c>
      <c r="Q349">
        <v>65461.97</v>
      </c>
      <c r="R349">
        <v>1248.5</v>
      </c>
      <c r="S349">
        <v>5924</v>
      </c>
      <c r="T349">
        <v>0</v>
      </c>
      <c r="U349">
        <v>2328.75</v>
      </c>
      <c r="V349">
        <v>2444</v>
      </c>
      <c r="W349">
        <v>472.95</v>
      </c>
      <c r="X349">
        <v>53043.77</v>
      </c>
      <c r="Y349">
        <v>4840.95</v>
      </c>
      <c r="Z349">
        <v>0</v>
      </c>
      <c r="AA349">
        <v>0</v>
      </c>
      <c r="AB349">
        <v>1829000</v>
      </c>
      <c r="AC349" t="s">
        <v>251</v>
      </c>
    </row>
    <row r="350" spans="1:29" outlineLevel="1" x14ac:dyDescent="0.2">
      <c r="B350" s="386" t="s">
        <v>2612</v>
      </c>
      <c r="N350">
        <f>SUBTOTAL(9,N349:N349)</f>
        <v>85443.91</v>
      </c>
    </row>
    <row r="351" spans="1:29" outlineLevel="2" x14ac:dyDescent="0.2">
      <c r="A351">
        <v>506</v>
      </c>
      <c r="B351">
        <v>5223585</v>
      </c>
      <c r="C351">
        <v>52235850</v>
      </c>
      <c r="D351" t="s">
        <v>1419</v>
      </c>
      <c r="E351" t="s">
        <v>2250</v>
      </c>
      <c r="F351">
        <v>611100</v>
      </c>
      <c r="G351" t="s">
        <v>2384</v>
      </c>
      <c r="H351">
        <v>90534</v>
      </c>
      <c r="I351">
        <v>0</v>
      </c>
      <c r="J351">
        <v>18</v>
      </c>
      <c r="K351">
        <v>6</v>
      </c>
      <c r="L351">
        <v>0</v>
      </c>
      <c r="M351">
        <v>900</v>
      </c>
      <c r="N351">
        <v>558053.28</v>
      </c>
      <c r="O351">
        <v>78006.149999999994</v>
      </c>
      <c r="P351">
        <v>26887.93</v>
      </c>
      <c r="Q351">
        <v>419597.65</v>
      </c>
      <c r="R351">
        <v>19110</v>
      </c>
      <c r="S351">
        <v>10029.799999999999</v>
      </c>
      <c r="T351">
        <v>0</v>
      </c>
      <c r="U351">
        <v>51147.05</v>
      </c>
      <c r="V351">
        <v>4950</v>
      </c>
      <c r="W351">
        <v>0</v>
      </c>
      <c r="X351">
        <v>334360.8</v>
      </c>
      <c r="Y351">
        <v>33561.550000000003</v>
      </c>
      <c r="Z351">
        <v>0</v>
      </c>
      <c r="AA351">
        <v>0</v>
      </c>
      <c r="AB351">
        <v>1611100</v>
      </c>
      <c r="AC351" t="s">
        <v>251</v>
      </c>
    </row>
    <row r="352" spans="1:29" outlineLevel="1" x14ac:dyDescent="0.2">
      <c r="B352" s="386" t="s">
        <v>2611</v>
      </c>
      <c r="N352">
        <f>SUBTOTAL(9,N351:N351)</f>
        <v>558053.28</v>
      </c>
    </row>
    <row r="353" spans="1:29" outlineLevel="2" x14ac:dyDescent="0.2">
      <c r="A353">
        <v>506</v>
      </c>
      <c r="B353">
        <v>5239197</v>
      </c>
      <c r="C353">
        <v>52391976</v>
      </c>
      <c r="D353" t="s">
        <v>2305</v>
      </c>
      <c r="E353" t="s">
        <v>1776</v>
      </c>
      <c r="F353">
        <v>841000</v>
      </c>
      <c r="G353" t="s">
        <v>2384</v>
      </c>
      <c r="H353">
        <v>90534</v>
      </c>
      <c r="I353">
        <v>0</v>
      </c>
      <c r="J353">
        <v>86</v>
      </c>
      <c r="K353">
        <v>2</v>
      </c>
      <c r="L353">
        <v>7</v>
      </c>
      <c r="M353">
        <v>450</v>
      </c>
      <c r="N353">
        <v>79481.77</v>
      </c>
      <c r="O353">
        <v>13198.7</v>
      </c>
      <c r="P353">
        <v>-721.44</v>
      </c>
      <c r="Q353">
        <v>61408.86</v>
      </c>
      <c r="R353">
        <v>0</v>
      </c>
      <c r="S353">
        <v>2962</v>
      </c>
      <c r="T353">
        <v>0</v>
      </c>
      <c r="U353">
        <v>3465</v>
      </c>
      <c r="V353">
        <v>758.6</v>
      </c>
      <c r="W353">
        <v>0</v>
      </c>
      <c r="X353">
        <v>54223.26</v>
      </c>
      <c r="Y353">
        <v>5595.65</v>
      </c>
      <c r="Z353">
        <v>0</v>
      </c>
      <c r="AA353">
        <v>0</v>
      </c>
      <c r="AB353">
        <v>1841000</v>
      </c>
      <c r="AC353" t="s">
        <v>251</v>
      </c>
    </row>
    <row r="354" spans="1:29" outlineLevel="1" x14ac:dyDescent="0.2">
      <c r="B354" s="386" t="s">
        <v>2610</v>
      </c>
      <c r="N354">
        <f>SUBTOTAL(9,N353:N353)</f>
        <v>79481.77</v>
      </c>
    </row>
    <row r="355" spans="1:29" outlineLevel="2" x14ac:dyDescent="0.2">
      <c r="A355">
        <v>506</v>
      </c>
      <c r="B355">
        <v>5243431</v>
      </c>
      <c r="C355">
        <v>52434313</v>
      </c>
      <c r="D355" t="s">
        <v>2138</v>
      </c>
      <c r="E355" t="s">
        <v>2362</v>
      </c>
      <c r="F355">
        <v>996000</v>
      </c>
      <c r="G355" t="s">
        <v>2384</v>
      </c>
      <c r="H355">
        <v>90534</v>
      </c>
      <c r="I355">
        <v>3</v>
      </c>
      <c r="J355">
        <v>5</v>
      </c>
      <c r="K355">
        <v>8</v>
      </c>
      <c r="L355">
        <v>0</v>
      </c>
      <c r="M355">
        <v>79.2</v>
      </c>
      <c r="N355">
        <v>4102</v>
      </c>
      <c r="O355">
        <v>0</v>
      </c>
      <c r="P355">
        <v>0</v>
      </c>
      <c r="Q355">
        <v>3815.75</v>
      </c>
      <c r="R355">
        <v>0</v>
      </c>
      <c r="S355">
        <v>185.5</v>
      </c>
      <c r="T355">
        <v>3630.25</v>
      </c>
      <c r="U355">
        <v>0</v>
      </c>
      <c r="V355">
        <v>0</v>
      </c>
      <c r="W355">
        <v>0</v>
      </c>
      <c r="X355">
        <v>0</v>
      </c>
      <c r="Y355">
        <v>286.25</v>
      </c>
      <c r="Z355">
        <v>0</v>
      </c>
      <c r="AA355">
        <v>0</v>
      </c>
      <c r="AB355">
        <v>1996000</v>
      </c>
      <c r="AC355" t="s">
        <v>251</v>
      </c>
    </row>
    <row r="356" spans="1:29" outlineLevel="1" x14ac:dyDescent="0.2">
      <c r="B356" s="386" t="s">
        <v>2609</v>
      </c>
      <c r="N356">
        <f>SUBTOTAL(9,N355:N355)</f>
        <v>4102</v>
      </c>
    </row>
    <row r="357" spans="1:29" outlineLevel="2" x14ac:dyDescent="0.2">
      <c r="A357">
        <v>506</v>
      </c>
      <c r="B357">
        <v>5243437</v>
      </c>
      <c r="C357">
        <v>52434370</v>
      </c>
      <c r="D357" t="s">
        <v>2275</v>
      </c>
      <c r="E357" t="s">
        <v>1360</v>
      </c>
      <c r="F357">
        <v>731000</v>
      </c>
      <c r="G357" t="s">
        <v>2384</v>
      </c>
      <c r="H357">
        <v>90534</v>
      </c>
      <c r="I357">
        <v>0</v>
      </c>
      <c r="J357">
        <v>39</v>
      </c>
      <c r="K357">
        <v>3</v>
      </c>
      <c r="L357">
        <v>0</v>
      </c>
      <c r="M357">
        <v>900</v>
      </c>
      <c r="N357">
        <v>281737.08</v>
      </c>
      <c r="O357">
        <v>38985.050000000003</v>
      </c>
      <c r="P357">
        <v>14092.78</v>
      </c>
      <c r="Q357">
        <v>212450.95</v>
      </c>
      <c r="R357">
        <v>5947.2</v>
      </c>
      <c r="S357">
        <v>5924</v>
      </c>
      <c r="T357">
        <v>0</v>
      </c>
      <c r="U357">
        <v>19329.849999999999</v>
      </c>
      <c r="V357">
        <v>1529.8</v>
      </c>
      <c r="W357">
        <v>0</v>
      </c>
      <c r="X357">
        <v>179720.1</v>
      </c>
      <c r="Y357">
        <v>16208.3</v>
      </c>
      <c r="Z357">
        <v>0</v>
      </c>
      <c r="AA357">
        <v>0</v>
      </c>
      <c r="AB357">
        <v>1731000</v>
      </c>
      <c r="AC357" t="s">
        <v>251</v>
      </c>
    </row>
    <row r="358" spans="1:29" outlineLevel="1" x14ac:dyDescent="0.2">
      <c r="B358" s="386" t="s">
        <v>2608</v>
      </c>
      <c r="N358">
        <f>SUBTOTAL(9,N357:N357)</f>
        <v>281737.08</v>
      </c>
    </row>
    <row r="359" spans="1:29" outlineLevel="2" x14ac:dyDescent="0.2">
      <c r="A359">
        <v>506</v>
      </c>
      <c r="B359">
        <v>5250803</v>
      </c>
      <c r="C359">
        <v>52508033</v>
      </c>
      <c r="D359" t="s">
        <v>1390</v>
      </c>
      <c r="E359" t="s">
        <v>2178</v>
      </c>
      <c r="F359">
        <v>817600</v>
      </c>
      <c r="G359" t="s">
        <v>2384</v>
      </c>
      <c r="H359">
        <v>90534</v>
      </c>
      <c r="I359">
        <v>0</v>
      </c>
      <c r="J359">
        <v>5</v>
      </c>
      <c r="K359">
        <v>8</v>
      </c>
      <c r="L359">
        <v>0</v>
      </c>
      <c r="M359">
        <v>900</v>
      </c>
      <c r="N359">
        <v>79466.100000000006</v>
      </c>
      <c r="O359">
        <v>6351.95</v>
      </c>
      <c r="P359">
        <v>2564.17</v>
      </c>
      <c r="Q359">
        <v>65627.929999999993</v>
      </c>
      <c r="R359">
        <v>0</v>
      </c>
      <c r="S359">
        <v>7196</v>
      </c>
      <c r="T359">
        <v>0</v>
      </c>
      <c r="U359">
        <v>0</v>
      </c>
      <c r="V359">
        <v>2218.85</v>
      </c>
      <c r="W359">
        <v>0</v>
      </c>
      <c r="X359">
        <v>56213.08</v>
      </c>
      <c r="Y359">
        <v>4922.05</v>
      </c>
      <c r="Z359">
        <v>0</v>
      </c>
      <c r="AA359">
        <v>0</v>
      </c>
      <c r="AB359">
        <v>1817600</v>
      </c>
      <c r="AC359" t="s">
        <v>251</v>
      </c>
    </row>
    <row r="360" spans="1:29" outlineLevel="1" x14ac:dyDescent="0.2">
      <c r="B360" s="386" t="s">
        <v>2607</v>
      </c>
      <c r="N360">
        <f>SUBTOTAL(9,N359:N359)</f>
        <v>79466.100000000006</v>
      </c>
    </row>
    <row r="361" spans="1:29" outlineLevel="2" x14ac:dyDescent="0.2">
      <c r="A361">
        <v>506</v>
      </c>
      <c r="B361">
        <v>5250811</v>
      </c>
      <c r="C361">
        <v>52508116</v>
      </c>
      <c r="D361" t="s">
        <v>932</v>
      </c>
      <c r="E361" t="s">
        <v>2363</v>
      </c>
      <c r="F361">
        <v>996000</v>
      </c>
      <c r="G361" t="s">
        <v>2384</v>
      </c>
      <c r="H361">
        <v>90534</v>
      </c>
      <c r="I361">
        <v>3</v>
      </c>
      <c r="J361">
        <v>5</v>
      </c>
      <c r="K361">
        <v>8</v>
      </c>
      <c r="L361">
        <v>0</v>
      </c>
      <c r="M361">
        <v>241.2</v>
      </c>
      <c r="N361">
        <v>15216</v>
      </c>
      <c r="O361">
        <v>0</v>
      </c>
      <c r="P361">
        <v>0</v>
      </c>
      <c r="Q361">
        <v>14154.35</v>
      </c>
      <c r="R361">
        <v>0</v>
      </c>
      <c r="S361">
        <v>568.15</v>
      </c>
      <c r="T361">
        <v>13586.2</v>
      </c>
      <c r="U361">
        <v>0</v>
      </c>
      <c r="V361">
        <v>0</v>
      </c>
      <c r="W361">
        <v>0</v>
      </c>
      <c r="X361">
        <v>0</v>
      </c>
      <c r="Y361">
        <v>1061.6500000000001</v>
      </c>
      <c r="Z361">
        <v>0</v>
      </c>
      <c r="AA361">
        <v>0</v>
      </c>
      <c r="AB361">
        <v>1996000</v>
      </c>
      <c r="AC361" t="s">
        <v>251</v>
      </c>
    </row>
    <row r="362" spans="1:29" outlineLevel="1" x14ac:dyDescent="0.2">
      <c r="B362" s="386" t="s">
        <v>2606</v>
      </c>
      <c r="N362">
        <f>SUBTOTAL(9,N361:N361)</f>
        <v>15216</v>
      </c>
    </row>
    <row r="363" spans="1:29" outlineLevel="2" x14ac:dyDescent="0.2">
      <c r="A363">
        <v>506</v>
      </c>
      <c r="B363">
        <v>5250834</v>
      </c>
      <c r="C363">
        <v>52508348</v>
      </c>
      <c r="D363" t="s">
        <v>2230</v>
      </c>
      <c r="E363" t="s">
        <v>1079</v>
      </c>
      <c r="F363">
        <v>615100</v>
      </c>
      <c r="G363" t="s">
        <v>2384</v>
      </c>
      <c r="H363">
        <v>90534</v>
      </c>
      <c r="I363">
        <v>0</v>
      </c>
      <c r="J363">
        <v>5</v>
      </c>
      <c r="K363">
        <v>7</v>
      </c>
      <c r="L363">
        <v>0</v>
      </c>
      <c r="M363">
        <v>300</v>
      </c>
      <c r="N363">
        <v>74095.320000000007</v>
      </c>
      <c r="O363">
        <v>5089.05</v>
      </c>
      <c r="P363">
        <v>836.46</v>
      </c>
      <c r="Q363">
        <v>42950.51</v>
      </c>
      <c r="R363">
        <v>0</v>
      </c>
      <c r="S363">
        <v>3704.4</v>
      </c>
      <c r="T363">
        <v>0</v>
      </c>
      <c r="U363">
        <v>0</v>
      </c>
      <c r="V363">
        <v>813.9</v>
      </c>
      <c r="W363">
        <v>0</v>
      </c>
      <c r="X363">
        <v>38432.21</v>
      </c>
      <c r="Y363">
        <v>3612.1</v>
      </c>
      <c r="Z363">
        <v>0</v>
      </c>
      <c r="AA363">
        <v>0</v>
      </c>
      <c r="AB363">
        <v>1615100</v>
      </c>
      <c r="AC363" t="s">
        <v>251</v>
      </c>
    </row>
    <row r="364" spans="1:29" outlineLevel="1" x14ac:dyDescent="0.2">
      <c r="B364" s="386" t="s">
        <v>2605</v>
      </c>
      <c r="N364">
        <f>SUBTOTAL(9,N363:N363)</f>
        <v>74095.320000000007</v>
      </c>
    </row>
    <row r="365" spans="1:29" outlineLevel="2" x14ac:dyDescent="0.2">
      <c r="A365">
        <v>506</v>
      </c>
      <c r="B365">
        <v>5250845</v>
      </c>
      <c r="C365">
        <v>52508454</v>
      </c>
      <c r="D365" t="s">
        <v>2230</v>
      </c>
      <c r="E365" t="s">
        <v>2267</v>
      </c>
      <c r="F365">
        <v>713000</v>
      </c>
      <c r="G365" t="s">
        <v>2384</v>
      </c>
      <c r="H365">
        <v>90534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90083.6</v>
      </c>
      <c r="O365">
        <v>0</v>
      </c>
      <c r="P365">
        <v>2383.0100000000002</v>
      </c>
      <c r="Q365">
        <v>46088</v>
      </c>
      <c r="R365">
        <v>0</v>
      </c>
      <c r="S365">
        <v>5088</v>
      </c>
      <c r="T365">
        <v>0</v>
      </c>
      <c r="U365">
        <v>0</v>
      </c>
      <c r="V365">
        <v>0</v>
      </c>
      <c r="W365">
        <v>0</v>
      </c>
      <c r="X365">
        <v>41000</v>
      </c>
      <c r="Y365">
        <v>6133.34</v>
      </c>
      <c r="Z365">
        <v>0</v>
      </c>
      <c r="AA365">
        <v>0</v>
      </c>
      <c r="AB365">
        <v>1713000</v>
      </c>
      <c r="AC365" t="s">
        <v>251</v>
      </c>
    </row>
    <row r="366" spans="1:29" outlineLevel="2" x14ac:dyDescent="0.2">
      <c r="A366">
        <v>506</v>
      </c>
      <c r="B366">
        <v>5250845</v>
      </c>
      <c r="C366">
        <v>52508454</v>
      </c>
      <c r="D366" t="s">
        <v>2230</v>
      </c>
      <c r="E366" t="s">
        <v>2267</v>
      </c>
      <c r="F366">
        <v>996000</v>
      </c>
      <c r="G366" t="s">
        <v>2384</v>
      </c>
      <c r="H366">
        <v>90534</v>
      </c>
      <c r="I366">
        <v>3</v>
      </c>
      <c r="J366">
        <v>72</v>
      </c>
      <c r="K366">
        <v>42</v>
      </c>
      <c r="L366">
        <v>0</v>
      </c>
      <c r="M366">
        <v>270.39999999999998</v>
      </c>
      <c r="N366">
        <v>23024.42</v>
      </c>
      <c r="O366">
        <v>0</v>
      </c>
      <c r="P366">
        <v>-2764.94</v>
      </c>
      <c r="Q366">
        <v>65084.15</v>
      </c>
      <c r="R366">
        <v>0</v>
      </c>
      <c r="S366">
        <v>716.55</v>
      </c>
      <c r="T366">
        <v>23888.35</v>
      </c>
      <c r="U366">
        <v>0</v>
      </c>
      <c r="V366">
        <v>0</v>
      </c>
      <c r="W366">
        <v>0</v>
      </c>
      <c r="X366">
        <v>40479.25</v>
      </c>
      <c r="Y366">
        <v>-3815.54</v>
      </c>
      <c r="Z366">
        <v>0</v>
      </c>
      <c r="AA366">
        <v>0</v>
      </c>
      <c r="AB366">
        <v>1996000</v>
      </c>
      <c r="AC366" t="s">
        <v>251</v>
      </c>
    </row>
    <row r="367" spans="1:29" outlineLevel="1" x14ac:dyDescent="0.2">
      <c r="B367" s="386" t="s">
        <v>2604</v>
      </c>
      <c r="N367">
        <f>SUBTOTAL(9,N365:N366)</f>
        <v>113108.02</v>
      </c>
    </row>
    <row r="368" spans="1:29" outlineLevel="2" x14ac:dyDescent="0.2">
      <c r="A368">
        <v>506</v>
      </c>
      <c r="B368">
        <v>5251624</v>
      </c>
      <c r="C368">
        <v>52516242</v>
      </c>
      <c r="D368" t="s">
        <v>932</v>
      </c>
      <c r="E368" t="s">
        <v>2364</v>
      </c>
      <c r="F368">
        <v>996000</v>
      </c>
      <c r="G368" t="s">
        <v>2384</v>
      </c>
      <c r="H368">
        <v>90534</v>
      </c>
      <c r="I368">
        <v>3</v>
      </c>
      <c r="J368">
        <v>5</v>
      </c>
      <c r="K368">
        <v>8</v>
      </c>
      <c r="L368">
        <v>0</v>
      </c>
      <c r="M368">
        <v>212.4</v>
      </c>
      <c r="N368">
        <v>13370.25</v>
      </c>
      <c r="O368">
        <v>0</v>
      </c>
      <c r="P368">
        <v>0</v>
      </c>
      <c r="Q368">
        <v>12437.4</v>
      </c>
      <c r="R368">
        <v>0</v>
      </c>
      <c r="S368">
        <v>497.5</v>
      </c>
      <c r="T368">
        <v>11939.9</v>
      </c>
      <c r="U368">
        <v>0</v>
      </c>
      <c r="V368">
        <v>0</v>
      </c>
      <c r="W368">
        <v>0</v>
      </c>
      <c r="X368">
        <v>0</v>
      </c>
      <c r="Y368">
        <v>932.85</v>
      </c>
      <c r="Z368">
        <v>0</v>
      </c>
      <c r="AA368">
        <v>0</v>
      </c>
      <c r="AB368">
        <v>1996000</v>
      </c>
      <c r="AC368" t="s">
        <v>251</v>
      </c>
    </row>
    <row r="369" spans="1:29" outlineLevel="1" x14ac:dyDescent="0.2">
      <c r="B369" s="386" t="s">
        <v>2603</v>
      </c>
      <c r="N369">
        <f>SUBTOTAL(9,N368:N368)</f>
        <v>13370.25</v>
      </c>
    </row>
    <row r="370" spans="1:29" outlineLevel="2" x14ac:dyDescent="0.2">
      <c r="A370">
        <v>506</v>
      </c>
      <c r="B370">
        <v>5371560</v>
      </c>
      <c r="C370">
        <v>53715603</v>
      </c>
      <c r="D370" t="s">
        <v>2121</v>
      </c>
      <c r="E370" t="s">
        <v>2122</v>
      </c>
      <c r="F370">
        <v>812200</v>
      </c>
      <c r="G370" t="s">
        <v>2384</v>
      </c>
      <c r="H370">
        <v>90534</v>
      </c>
      <c r="I370">
        <v>0</v>
      </c>
      <c r="J370">
        <v>5</v>
      </c>
      <c r="K370">
        <v>37</v>
      </c>
      <c r="L370">
        <v>0</v>
      </c>
      <c r="M370">
        <v>747</v>
      </c>
      <c r="N370">
        <v>72905.460000000006</v>
      </c>
      <c r="O370">
        <v>5856.2</v>
      </c>
      <c r="P370">
        <v>2280.33</v>
      </c>
      <c r="Q370">
        <v>60250.18</v>
      </c>
      <c r="R370">
        <v>0</v>
      </c>
      <c r="S370">
        <v>5124.3999999999996</v>
      </c>
      <c r="T370">
        <v>0</v>
      </c>
      <c r="U370">
        <v>0</v>
      </c>
      <c r="V370">
        <v>1718.6</v>
      </c>
      <c r="W370">
        <v>0</v>
      </c>
      <c r="X370">
        <v>53407.18</v>
      </c>
      <c r="Y370">
        <v>4518.75</v>
      </c>
      <c r="Z370">
        <v>0</v>
      </c>
      <c r="AA370">
        <v>0</v>
      </c>
      <c r="AB370">
        <v>1812200</v>
      </c>
      <c r="AC370" t="s">
        <v>251</v>
      </c>
    </row>
    <row r="371" spans="1:29" outlineLevel="1" x14ac:dyDescent="0.2">
      <c r="B371" s="386" t="s">
        <v>2602</v>
      </c>
      <c r="N371">
        <f>SUBTOTAL(9,N370:N370)</f>
        <v>72905.460000000006</v>
      </c>
    </row>
    <row r="372" spans="1:29" outlineLevel="2" x14ac:dyDescent="0.2">
      <c r="A372">
        <v>506</v>
      </c>
      <c r="B372">
        <v>5387559</v>
      </c>
      <c r="C372">
        <v>53875597</v>
      </c>
      <c r="D372" t="s">
        <v>2185</v>
      </c>
      <c r="E372" t="s">
        <v>2171</v>
      </c>
      <c r="F372">
        <v>832400</v>
      </c>
      <c r="G372" t="s">
        <v>2384</v>
      </c>
      <c r="H372">
        <v>90534</v>
      </c>
      <c r="I372">
        <v>0</v>
      </c>
      <c r="J372">
        <v>5</v>
      </c>
      <c r="K372">
        <v>37</v>
      </c>
      <c r="L372">
        <v>0</v>
      </c>
      <c r="M372">
        <v>450</v>
      </c>
      <c r="N372">
        <v>48302.43</v>
      </c>
      <c r="O372">
        <v>3849.7</v>
      </c>
      <c r="P372">
        <v>1382.2</v>
      </c>
      <c r="Q372">
        <v>40065.629999999997</v>
      </c>
      <c r="R372">
        <v>0</v>
      </c>
      <c r="S372">
        <v>3958.8</v>
      </c>
      <c r="T372">
        <v>0</v>
      </c>
      <c r="U372">
        <v>0</v>
      </c>
      <c r="V372">
        <v>1937.3</v>
      </c>
      <c r="W372">
        <v>0</v>
      </c>
      <c r="X372">
        <v>34169.53</v>
      </c>
      <c r="Y372">
        <v>3004.9</v>
      </c>
      <c r="Z372">
        <v>0</v>
      </c>
      <c r="AA372">
        <v>0</v>
      </c>
      <c r="AB372">
        <v>1832400</v>
      </c>
      <c r="AC372" t="s">
        <v>251</v>
      </c>
    </row>
    <row r="373" spans="1:29" outlineLevel="1" x14ac:dyDescent="0.2">
      <c r="B373" s="386" t="s">
        <v>2601</v>
      </c>
      <c r="N373">
        <f>SUBTOTAL(9,N372:N372)</f>
        <v>48302.43</v>
      </c>
    </row>
    <row r="374" spans="1:29" outlineLevel="2" x14ac:dyDescent="0.2">
      <c r="A374">
        <v>506</v>
      </c>
      <c r="B374">
        <v>5439344</v>
      </c>
      <c r="C374">
        <v>54393442</v>
      </c>
      <c r="D374" t="s">
        <v>2225</v>
      </c>
      <c r="E374" t="s">
        <v>2226</v>
      </c>
      <c r="F374">
        <v>814000</v>
      </c>
      <c r="G374" t="s">
        <v>2384</v>
      </c>
      <c r="H374">
        <v>90534</v>
      </c>
      <c r="I374">
        <v>0</v>
      </c>
      <c r="J374">
        <v>5</v>
      </c>
      <c r="K374">
        <v>37</v>
      </c>
      <c r="L374">
        <v>0</v>
      </c>
      <c r="M374">
        <v>450</v>
      </c>
      <c r="N374">
        <v>50963.7</v>
      </c>
      <c r="O374">
        <v>4095.95</v>
      </c>
      <c r="P374">
        <v>1459.72</v>
      </c>
      <c r="Q374">
        <v>42240.08</v>
      </c>
      <c r="R374">
        <v>0</v>
      </c>
      <c r="S374">
        <v>3958.8</v>
      </c>
      <c r="T374">
        <v>0</v>
      </c>
      <c r="U374">
        <v>0</v>
      </c>
      <c r="V374">
        <v>1656.55</v>
      </c>
      <c r="W374">
        <v>0</v>
      </c>
      <c r="X374">
        <v>36624.730000000003</v>
      </c>
      <c r="Y374">
        <v>3167.95</v>
      </c>
      <c r="Z374">
        <v>0</v>
      </c>
      <c r="AA374">
        <v>0</v>
      </c>
      <c r="AB374">
        <v>1814000</v>
      </c>
      <c r="AC374" t="s">
        <v>251</v>
      </c>
    </row>
    <row r="375" spans="1:29" outlineLevel="1" x14ac:dyDescent="0.2">
      <c r="B375" s="386" t="s">
        <v>2600</v>
      </c>
      <c r="N375">
        <f>SUBTOTAL(9,N374:N374)</f>
        <v>50963.7</v>
      </c>
    </row>
    <row r="376" spans="1:29" outlineLevel="2" x14ac:dyDescent="0.2">
      <c r="A376">
        <v>506</v>
      </c>
      <c r="B376">
        <v>5439348</v>
      </c>
      <c r="C376">
        <v>54393483</v>
      </c>
      <c r="D376" t="s">
        <v>2170</v>
      </c>
      <c r="E376" t="s">
        <v>2171</v>
      </c>
      <c r="F376">
        <v>813201</v>
      </c>
      <c r="G376" t="s">
        <v>2384</v>
      </c>
      <c r="H376">
        <v>90534</v>
      </c>
      <c r="I376">
        <v>0</v>
      </c>
      <c r="J376">
        <v>72</v>
      </c>
      <c r="K376">
        <v>40</v>
      </c>
      <c r="L376">
        <v>0</v>
      </c>
      <c r="M376">
        <v>675</v>
      </c>
      <c r="N376">
        <v>88254.02</v>
      </c>
      <c r="O376">
        <v>6967.25</v>
      </c>
      <c r="P376">
        <v>3323.75</v>
      </c>
      <c r="Q376">
        <v>72523.77</v>
      </c>
      <c r="R376">
        <v>981</v>
      </c>
      <c r="S376">
        <v>6096</v>
      </c>
      <c r="T376">
        <v>0</v>
      </c>
      <c r="U376">
        <v>0</v>
      </c>
      <c r="V376">
        <v>1734.15</v>
      </c>
      <c r="W376">
        <v>0</v>
      </c>
      <c r="X376">
        <v>63712.62</v>
      </c>
      <c r="Y376">
        <v>5439.25</v>
      </c>
      <c r="Z376">
        <v>0</v>
      </c>
      <c r="AA376">
        <v>0</v>
      </c>
      <c r="AB376">
        <v>1813201</v>
      </c>
      <c r="AC376" t="s">
        <v>251</v>
      </c>
    </row>
    <row r="377" spans="1:29" outlineLevel="1" x14ac:dyDescent="0.2">
      <c r="B377" s="386" t="s">
        <v>2599</v>
      </c>
      <c r="N377">
        <f>SUBTOTAL(9,N376:N376)</f>
        <v>88254.02</v>
      </c>
    </row>
    <row r="378" spans="1:29" outlineLevel="2" x14ac:dyDescent="0.2">
      <c r="A378">
        <v>506</v>
      </c>
      <c r="B378">
        <v>5440403</v>
      </c>
      <c r="C378">
        <v>54404033</v>
      </c>
      <c r="D378" t="s">
        <v>1459</v>
      </c>
      <c r="E378" t="s">
        <v>2302</v>
      </c>
      <c r="F378">
        <v>841001</v>
      </c>
      <c r="G378" t="s">
        <v>2384</v>
      </c>
      <c r="H378">
        <v>90534</v>
      </c>
      <c r="I378">
        <v>0</v>
      </c>
      <c r="J378">
        <v>5</v>
      </c>
      <c r="K378">
        <v>37</v>
      </c>
      <c r="L378">
        <v>0</v>
      </c>
      <c r="M378">
        <v>900</v>
      </c>
      <c r="N378">
        <v>87107.33</v>
      </c>
      <c r="O378">
        <v>6600.65</v>
      </c>
      <c r="P378">
        <v>3272.89</v>
      </c>
      <c r="Q378">
        <v>71845.440000000002</v>
      </c>
      <c r="R378">
        <v>0</v>
      </c>
      <c r="S378">
        <v>7022</v>
      </c>
      <c r="T378">
        <v>0</v>
      </c>
      <c r="U378">
        <v>0</v>
      </c>
      <c r="V378">
        <v>1899.35</v>
      </c>
      <c r="W378">
        <v>0</v>
      </c>
      <c r="X378">
        <v>62924.09</v>
      </c>
      <c r="Y378">
        <v>5388.35</v>
      </c>
      <c r="Z378">
        <v>0</v>
      </c>
      <c r="AA378">
        <v>0</v>
      </c>
      <c r="AB378">
        <v>1841001</v>
      </c>
      <c r="AC378" t="s">
        <v>251</v>
      </c>
    </row>
    <row r="379" spans="1:29" outlineLevel="1" x14ac:dyDescent="0.2">
      <c r="B379" s="386" t="s">
        <v>2598</v>
      </c>
      <c r="N379">
        <f>SUBTOTAL(9,N378:N378)</f>
        <v>87107.33</v>
      </c>
    </row>
    <row r="380" spans="1:29" outlineLevel="2" x14ac:dyDescent="0.2">
      <c r="A380">
        <v>506</v>
      </c>
      <c r="B380">
        <v>5440423</v>
      </c>
      <c r="C380">
        <v>54404231</v>
      </c>
      <c r="D380" t="s">
        <v>2138</v>
      </c>
      <c r="E380" t="s">
        <v>2171</v>
      </c>
      <c r="F380">
        <v>996000</v>
      </c>
      <c r="G380" t="s">
        <v>2384</v>
      </c>
      <c r="H380">
        <v>90534</v>
      </c>
      <c r="I380">
        <v>3</v>
      </c>
      <c r="J380">
        <v>5</v>
      </c>
      <c r="K380">
        <v>39</v>
      </c>
      <c r="L380">
        <v>0</v>
      </c>
      <c r="M380">
        <v>570.6</v>
      </c>
      <c r="N380">
        <v>50687.65</v>
      </c>
      <c r="O380">
        <v>0</v>
      </c>
      <c r="P380">
        <v>0</v>
      </c>
      <c r="Q380">
        <v>47151.25</v>
      </c>
      <c r="R380">
        <v>0</v>
      </c>
      <c r="S380">
        <v>1344.1</v>
      </c>
      <c r="T380">
        <v>45807.15</v>
      </c>
      <c r="U380">
        <v>0</v>
      </c>
      <c r="V380">
        <v>0</v>
      </c>
      <c r="W380">
        <v>0</v>
      </c>
      <c r="X380">
        <v>0</v>
      </c>
      <c r="Y380">
        <v>3536.4</v>
      </c>
      <c r="Z380">
        <v>0</v>
      </c>
      <c r="AA380">
        <v>0</v>
      </c>
      <c r="AB380">
        <v>1996000</v>
      </c>
      <c r="AC380" t="s">
        <v>251</v>
      </c>
    </row>
    <row r="381" spans="1:29" outlineLevel="1" x14ac:dyDescent="0.2">
      <c r="B381" s="386" t="s">
        <v>2597</v>
      </c>
      <c r="N381">
        <f>SUBTOTAL(9,N380:N380)</f>
        <v>50687.65</v>
      </c>
    </row>
    <row r="382" spans="1:29" outlineLevel="2" x14ac:dyDescent="0.2">
      <c r="A382">
        <v>506</v>
      </c>
      <c r="B382">
        <v>5443083</v>
      </c>
      <c r="C382">
        <v>54430830</v>
      </c>
      <c r="D382" t="s">
        <v>1419</v>
      </c>
      <c r="E382" t="s">
        <v>2283</v>
      </c>
      <c r="F382">
        <v>811000</v>
      </c>
      <c r="G382" t="s">
        <v>2384</v>
      </c>
      <c r="H382">
        <v>90534</v>
      </c>
      <c r="I382">
        <v>0</v>
      </c>
      <c r="J382">
        <v>3</v>
      </c>
      <c r="K382">
        <v>1</v>
      </c>
      <c r="L382">
        <v>0</v>
      </c>
      <c r="M382">
        <v>100</v>
      </c>
      <c r="N382">
        <v>21641.84</v>
      </c>
      <c r="O382">
        <v>1527.6</v>
      </c>
      <c r="P382">
        <v>1053.31</v>
      </c>
      <c r="Q382">
        <v>17728.12</v>
      </c>
      <c r="R382">
        <v>0</v>
      </c>
      <c r="S382">
        <v>0</v>
      </c>
      <c r="T382">
        <v>1675.95</v>
      </c>
      <c r="U382">
        <v>2034.8</v>
      </c>
      <c r="V382">
        <v>237.3</v>
      </c>
      <c r="W382">
        <v>0</v>
      </c>
      <c r="X382">
        <v>13780.07</v>
      </c>
      <c r="Y382">
        <v>1332.81</v>
      </c>
      <c r="Z382">
        <v>0</v>
      </c>
      <c r="AA382">
        <v>0</v>
      </c>
      <c r="AB382">
        <v>1811000</v>
      </c>
      <c r="AC382" t="s">
        <v>251</v>
      </c>
    </row>
    <row r="383" spans="1:29" outlineLevel="2" x14ac:dyDescent="0.2">
      <c r="A383">
        <v>506</v>
      </c>
      <c r="B383">
        <v>5443083</v>
      </c>
      <c r="C383">
        <v>54430830</v>
      </c>
      <c r="D383" t="s">
        <v>1419</v>
      </c>
      <c r="E383" t="s">
        <v>2283</v>
      </c>
      <c r="F383">
        <v>996000</v>
      </c>
      <c r="G383" t="s">
        <v>2384</v>
      </c>
      <c r="H383">
        <v>90534</v>
      </c>
      <c r="I383">
        <v>3</v>
      </c>
      <c r="J383">
        <v>3</v>
      </c>
      <c r="K383">
        <v>1</v>
      </c>
      <c r="L383">
        <v>0</v>
      </c>
      <c r="M383">
        <v>423.8</v>
      </c>
      <c r="N383">
        <v>218356.03</v>
      </c>
      <c r="O383">
        <v>0</v>
      </c>
      <c r="P383">
        <v>7.46</v>
      </c>
      <c r="Q383">
        <v>82409.53</v>
      </c>
      <c r="R383">
        <v>0</v>
      </c>
      <c r="S383">
        <v>1123.5999999999999</v>
      </c>
      <c r="T383">
        <v>81285.929999999993</v>
      </c>
      <c r="U383">
        <v>0</v>
      </c>
      <c r="V383">
        <v>0</v>
      </c>
      <c r="W383">
        <v>0</v>
      </c>
      <c r="X383">
        <v>0</v>
      </c>
      <c r="Y383">
        <v>15248.24</v>
      </c>
      <c r="Z383">
        <v>0</v>
      </c>
      <c r="AA383">
        <v>0</v>
      </c>
      <c r="AB383">
        <v>1996000</v>
      </c>
      <c r="AC383" t="s">
        <v>251</v>
      </c>
    </row>
    <row r="384" spans="1:29" outlineLevel="1" x14ac:dyDescent="0.2">
      <c r="B384" s="386" t="s">
        <v>2596</v>
      </c>
      <c r="N384">
        <f>SUBTOTAL(9,N382:N383)</f>
        <v>239997.87</v>
      </c>
    </row>
    <row r="385" spans="1:29" outlineLevel="2" x14ac:dyDescent="0.2">
      <c r="A385">
        <v>506</v>
      </c>
      <c r="B385">
        <v>5443621</v>
      </c>
      <c r="C385">
        <v>54436217</v>
      </c>
      <c r="D385" t="s">
        <v>2207</v>
      </c>
      <c r="E385" t="s">
        <v>2247</v>
      </c>
      <c r="F385">
        <v>817910</v>
      </c>
      <c r="G385" t="s">
        <v>2384</v>
      </c>
      <c r="H385">
        <v>90534</v>
      </c>
      <c r="I385">
        <v>0</v>
      </c>
      <c r="J385">
        <v>5</v>
      </c>
      <c r="K385">
        <v>37</v>
      </c>
      <c r="L385">
        <v>0</v>
      </c>
      <c r="M385">
        <v>450</v>
      </c>
      <c r="N385">
        <v>45539.24</v>
      </c>
      <c r="O385">
        <v>3634.85</v>
      </c>
      <c r="P385">
        <v>1302.99</v>
      </c>
      <c r="Q385">
        <v>37768.75</v>
      </c>
      <c r="R385">
        <v>0</v>
      </c>
      <c r="S385">
        <v>3299</v>
      </c>
      <c r="T385">
        <v>0</v>
      </c>
      <c r="U385">
        <v>0</v>
      </c>
      <c r="V385">
        <v>1637.15</v>
      </c>
      <c r="W385">
        <v>0</v>
      </c>
      <c r="X385">
        <v>32832.6</v>
      </c>
      <c r="Y385">
        <v>2832.65</v>
      </c>
      <c r="Z385">
        <v>0</v>
      </c>
      <c r="AA385">
        <v>0</v>
      </c>
      <c r="AB385">
        <v>1817910</v>
      </c>
      <c r="AC385" t="s">
        <v>251</v>
      </c>
    </row>
    <row r="386" spans="1:29" outlineLevel="1" x14ac:dyDescent="0.2">
      <c r="B386" s="386" t="s">
        <v>2595</v>
      </c>
      <c r="N386">
        <f>SUBTOTAL(9,N385:N385)</f>
        <v>45539.24</v>
      </c>
    </row>
    <row r="387" spans="1:29" outlineLevel="2" x14ac:dyDescent="0.2">
      <c r="A387">
        <v>506</v>
      </c>
      <c r="B387">
        <v>5443641</v>
      </c>
      <c r="C387">
        <v>54436415</v>
      </c>
      <c r="D387" t="s">
        <v>1329</v>
      </c>
      <c r="E387" t="s">
        <v>2179</v>
      </c>
      <c r="F387">
        <v>813202</v>
      </c>
      <c r="G387" t="s">
        <v>2384</v>
      </c>
      <c r="H387">
        <v>90534</v>
      </c>
      <c r="I387">
        <v>0</v>
      </c>
      <c r="J387">
        <v>5</v>
      </c>
      <c r="K387">
        <v>37</v>
      </c>
      <c r="L387">
        <v>0</v>
      </c>
      <c r="M387">
        <v>450</v>
      </c>
      <c r="N387">
        <v>67785.64</v>
      </c>
      <c r="O387">
        <v>5070</v>
      </c>
      <c r="P387">
        <v>2170.9</v>
      </c>
      <c r="Q387">
        <v>56320.69</v>
      </c>
      <c r="R387">
        <v>0</v>
      </c>
      <c r="S387">
        <v>4213.2</v>
      </c>
      <c r="T387">
        <v>0</v>
      </c>
      <c r="U387">
        <v>0</v>
      </c>
      <c r="V387">
        <v>2179.35</v>
      </c>
      <c r="W387">
        <v>0</v>
      </c>
      <c r="X387">
        <v>49928.14</v>
      </c>
      <c r="Y387">
        <v>4224.05</v>
      </c>
      <c r="Z387">
        <v>0</v>
      </c>
      <c r="AA387">
        <v>0</v>
      </c>
      <c r="AB387">
        <v>1813202</v>
      </c>
      <c r="AC387" t="s">
        <v>251</v>
      </c>
    </row>
    <row r="388" spans="1:29" outlineLevel="1" x14ac:dyDescent="0.2">
      <c r="B388" s="386" t="s">
        <v>2594</v>
      </c>
      <c r="N388">
        <f>SUBTOTAL(9,N387:N387)</f>
        <v>67785.64</v>
      </c>
    </row>
    <row r="389" spans="1:29" outlineLevel="2" x14ac:dyDescent="0.2">
      <c r="A389">
        <v>506</v>
      </c>
      <c r="B389">
        <v>5445944</v>
      </c>
      <c r="C389">
        <v>54459441</v>
      </c>
      <c r="D389" t="s">
        <v>2255</v>
      </c>
      <c r="E389" t="s">
        <v>2256</v>
      </c>
      <c r="F389">
        <v>615000</v>
      </c>
      <c r="G389" t="s">
        <v>2384</v>
      </c>
      <c r="H389">
        <v>90534</v>
      </c>
      <c r="I389">
        <v>0</v>
      </c>
      <c r="J389">
        <v>5</v>
      </c>
      <c r="K389">
        <v>5</v>
      </c>
      <c r="L389">
        <v>0</v>
      </c>
      <c r="M389">
        <v>450</v>
      </c>
      <c r="N389">
        <v>47840.959999999999</v>
      </c>
      <c r="O389">
        <v>7121.7</v>
      </c>
      <c r="P389">
        <v>1266.2</v>
      </c>
      <c r="Q389">
        <v>36700.51</v>
      </c>
      <c r="R389">
        <v>0</v>
      </c>
      <c r="S389">
        <v>3450</v>
      </c>
      <c r="T389">
        <v>0</v>
      </c>
      <c r="U389">
        <v>0</v>
      </c>
      <c r="V389">
        <v>1766.5</v>
      </c>
      <c r="W389">
        <v>0</v>
      </c>
      <c r="X389">
        <v>31484.01</v>
      </c>
      <c r="Y389">
        <v>2752.55</v>
      </c>
      <c r="Z389">
        <v>0</v>
      </c>
      <c r="AA389">
        <v>0</v>
      </c>
      <c r="AB389">
        <v>1615000</v>
      </c>
      <c r="AC389" t="s">
        <v>251</v>
      </c>
    </row>
    <row r="390" spans="1:29" outlineLevel="1" x14ac:dyDescent="0.2">
      <c r="B390" s="386" t="s">
        <v>2593</v>
      </c>
      <c r="N390">
        <f>SUBTOTAL(9,N389:N389)</f>
        <v>47840.959999999999</v>
      </c>
    </row>
    <row r="391" spans="1:29" outlineLevel="2" x14ac:dyDescent="0.2">
      <c r="A391">
        <v>506</v>
      </c>
      <c r="B391">
        <v>5468927</v>
      </c>
      <c r="C391">
        <v>54689278</v>
      </c>
      <c r="D391" t="s">
        <v>2395</v>
      </c>
      <c r="E391" t="s">
        <v>2396</v>
      </c>
      <c r="F391">
        <v>812513</v>
      </c>
      <c r="G391" t="s">
        <v>2384</v>
      </c>
      <c r="H391">
        <v>90534</v>
      </c>
      <c r="I391">
        <v>1</v>
      </c>
      <c r="J391">
        <v>0</v>
      </c>
      <c r="K391">
        <v>0</v>
      </c>
      <c r="L391">
        <v>0</v>
      </c>
      <c r="M391">
        <v>0</v>
      </c>
      <c r="N391">
        <v>3994.2</v>
      </c>
      <c r="O391">
        <v>0</v>
      </c>
      <c r="P391">
        <v>124.2</v>
      </c>
      <c r="Q391">
        <v>3600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3600</v>
      </c>
      <c r="Y391">
        <v>270</v>
      </c>
      <c r="Z391">
        <v>0</v>
      </c>
      <c r="AA391">
        <v>0</v>
      </c>
      <c r="AB391">
        <v>1812513</v>
      </c>
      <c r="AC391" t="s">
        <v>251</v>
      </c>
    </row>
    <row r="392" spans="1:29" outlineLevel="1" x14ac:dyDescent="0.2">
      <c r="B392" s="386" t="s">
        <v>2592</v>
      </c>
      <c r="N392">
        <f>SUBTOTAL(9,N391:N391)</f>
        <v>3994.2</v>
      </c>
    </row>
    <row r="393" spans="1:29" outlineLevel="2" x14ac:dyDescent="0.2">
      <c r="A393">
        <v>506</v>
      </c>
      <c r="B393">
        <v>5481949</v>
      </c>
      <c r="C393">
        <v>54819495</v>
      </c>
      <c r="D393" t="s">
        <v>1374</v>
      </c>
      <c r="E393" t="s">
        <v>2365</v>
      </c>
      <c r="F393">
        <v>996000</v>
      </c>
      <c r="G393" t="s">
        <v>2384</v>
      </c>
      <c r="H393">
        <v>90534</v>
      </c>
      <c r="I393">
        <v>3</v>
      </c>
      <c r="J393">
        <v>5</v>
      </c>
      <c r="K393">
        <v>11</v>
      </c>
      <c r="L393">
        <v>0</v>
      </c>
      <c r="M393">
        <v>589.5</v>
      </c>
      <c r="N393">
        <v>61595.25</v>
      </c>
      <c r="O393">
        <v>0</v>
      </c>
      <c r="P393">
        <v>0</v>
      </c>
      <c r="Q393">
        <v>57297.9</v>
      </c>
      <c r="R393">
        <v>0</v>
      </c>
      <c r="S393">
        <v>1388.6</v>
      </c>
      <c r="T393">
        <v>55909.3</v>
      </c>
      <c r="U393">
        <v>0</v>
      </c>
      <c r="V393">
        <v>0</v>
      </c>
      <c r="W393">
        <v>0</v>
      </c>
      <c r="X393">
        <v>0</v>
      </c>
      <c r="Y393">
        <v>4297.3500000000004</v>
      </c>
      <c r="Z393">
        <v>0</v>
      </c>
      <c r="AA393">
        <v>0</v>
      </c>
      <c r="AB393">
        <v>1996000</v>
      </c>
      <c r="AC393" t="s">
        <v>251</v>
      </c>
    </row>
    <row r="394" spans="1:29" outlineLevel="1" x14ac:dyDescent="0.2">
      <c r="B394" s="386" t="s">
        <v>2591</v>
      </c>
      <c r="N394">
        <f>SUBTOTAL(9,N393:N393)</f>
        <v>61595.25</v>
      </c>
    </row>
    <row r="395" spans="1:29" outlineLevel="2" x14ac:dyDescent="0.2">
      <c r="A395">
        <v>506</v>
      </c>
      <c r="B395">
        <v>5484140</v>
      </c>
      <c r="C395">
        <v>54841408</v>
      </c>
      <c r="D395" t="s">
        <v>2180</v>
      </c>
      <c r="E395" t="s">
        <v>2181</v>
      </c>
      <c r="F395">
        <v>813202</v>
      </c>
      <c r="G395" t="s">
        <v>2384</v>
      </c>
      <c r="H395">
        <v>90534</v>
      </c>
      <c r="I395">
        <v>0</v>
      </c>
      <c r="J395">
        <v>5</v>
      </c>
      <c r="K395">
        <v>5</v>
      </c>
      <c r="L395">
        <v>0</v>
      </c>
      <c r="M395">
        <v>482.5</v>
      </c>
      <c r="N395">
        <v>38921.97</v>
      </c>
      <c r="O395">
        <v>5737.35</v>
      </c>
      <c r="P395">
        <v>1031.8699999999999</v>
      </c>
      <c r="Q395">
        <v>29909.5</v>
      </c>
      <c r="R395">
        <v>0</v>
      </c>
      <c r="S395">
        <v>2663</v>
      </c>
      <c r="T395">
        <v>0</v>
      </c>
      <c r="U395">
        <v>0</v>
      </c>
      <c r="V395">
        <v>1572.2</v>
      </c>
      <c r="W395">
        <v>0</v>
      </c>
      <c r="X395">
        <v>25674.3</v>
      </c>
      <c r="Y395">
        <v>2243.25</v>
      </c>
      <c r="Z395">
        <v>0</v>
      </c>
      <c r="AA395">
        <v>0</v>
      </c>
      <c r="AB395">
        <v>1813202</v>
      </c>
      <c r="AC395" t="s">
        <v>251</v>
      </c>
    </row>
    <row r="396" spans="1:29" outlineLevel="1" x14ac:dyDescent="0.2">
      <c r="B396" s="386" t="s">
        <v>2590</v>
      </c>
      <c r="N396">
        <f>SUBTOTAL(9,N395:N395)</f>
        <v>38921.97</v>
      </c>
    </row>
    <row r="397" spans="1:29" outlineLevel="2" x14ac:dyDescent="0.2">
      <c r="A397">
        <v>506</v>
      </c>
      <c r="B397">
        <v>5515856</v>
      </c>
      <c r="C397">
        <v>55158562</v>
      </c>
      <c r="D397" t="s">
        <v>2366</v>
      </c>
      <c r="E397" t="s">
        <v>2191</v>
      </c>
      <c r="F397">
        <v>996000</v>
      </c>
      <c r="G397" t="s">
        <v>2384</v>
      </c>
      <c r="H397">
        <v>90534</v>
      </c>
      <c r="I397">
        <v>3</v>
      </c>
      <c r="J397">
        <v>5</v>
      </c>
      <c r="K397">
        <v>38</v>
      </c>
      <c r="L397">
        <v>0</v>
      </c>
      <c r="M397">
        <v>554.4</v>
      </c>
      <c r="N397">
        <v>49173.8</v>
      </c>
      <c r="O397">
        <v>0</v>
      </c>
      <c r="P397">
        <v>0</v>
      </c>
      <c r="Q397">
        <v>45743.15</v>
      </c>
      <c r="R397">
        <v>0</v>
      </c>
      <c r="S397">
        <v>1305.9000000000001</v>
      </c>
      <c r="T397">
        <v>44437.25</v>
      </c>
      <c r="U397">
        <v>0</v>
      </c>
      <c r="V397">
        <v>0</v>
      </c>
      <c r="W397">
        <v>0</v>
      </c>
      <c r="X397">
        <v>0</v>
      </c>
      <c r="Y397">
        <v>3430.65</v>
      </c>
      <c r="Z397">
        <v>0</v>
      </c>
      <c r="AA397">
        <v>0</v>
      </c>
      <c r="AB397">
        <v>1996000</v>
      </c>
      <c r="AC397" t="s">
        <v>251</v>
      </c>
    </row>
    <row r="398" spans="1:29" outlineLevel="1" x14ac:dyDescent="0.2">
      <c r="B398" s="386" t="s">
        <v>2589</v>
      </c>
      <c r="N398">
        <f>SUBTOTAL(9,N397:N397)</f>
        <v>49173.8</v>
      </c>
    </row>
    <row r="399" spans="1:29" outlineLevel="2" x14ac:dyDescent="0.2">
      <c r="A399">
        <v>506</v>
      </c>
      <c r="B399">
        <v>5515862</v>
      </c>
      <c r="C399">
        <v>55158620</v>
      </c>
      <c r="D399" t="s">
        <v>1531</v>
      </c>
      <c r="E399" t="s">
        <v>2182</v>
      </c>
      <c r="F399">
        <v>813202</v>
      </c>
      <c r="G399" t="s">
        <v>2384</v>
      </c>
      <c r="H399">
        <v>90534</v>
      </c>
      <c r="I399">
        <v>0</v>
      </c>
      <c r="J399">
        <v>5</v>
      </c>
      <c r="K399">
        <v>5</v>
      </c>
      <c r="L399">
        <v>0</v>
      </c>
      <c r="M399">
        <v>450</v>
      </c>
      <c r="N399">
        <v>45225.34</v>
      </c>
      <c r="O399">
        <v>6869.7</v>
      </c>
      <c r="P399">
        <v>1192.67</v>
      </c>
      <c r="Q399">
        <v>34570.22</v>
      </c>
      <c r="R399">
        <v>0</v>
      </c>
      <c r="S399">
        <v>3195.6</v>
      </c>
      <c r="T399">
        <v>0</v>
      </c>
      <c r="U399">
        <v>0</v>
      </c>
      <c r="V399">
        <v>1650.25</v>
      </c>
      <c r="W399">
        <v>0</v>
      </c>
      <c r="X399">
        <v>29724.37</v>
      </c>
      <c r="Y399">
        <v>2592.75</v>
      </c>
      <c r="Z399">
        <v>0</v>
      </c>
      <c r="AA399">
        <v>0</v>
      </c>
      <c r="AB399">
        <v>1813202</v>
      </c>
      <c r="AC399" t="s">
        <v>251</v>
      </c>
    </row>
    <row r="400" spans="1:29" outlineLevel="1" x14ac:dyDescent="0.2">
      <c r="B400" s="386" t="s">
        <v>2588</v>
      </c>
      <c r="N400">
        <f>SUBTOTAL(9,N399:N399)</f>
        <v>45225.34</v>
      </c>
    </row>
    <row r="401" spans="1:29" outlineLevel="2" x14ac:dyDescent="0.2">
      <c r="A401">
        <v>506</v>
      </c>
      <c r="B401">
        <v>5515873</v>
      </c>
      <c r="C401">
        <v>55158737</v>
      </c>
      <c r="D401" t="s">
        <v>2306</v>
      </c>
      <c r="E401" t="s">
        <v>2307</v>
      </c>
      <c r="F401">
        <v>841000</v>
      </c>
      <c r="G401" t="s">
        <v>2384</v>
      </c>
      <c r="H401">
        <v>90534</v>
      </c>
      <c r="I401">
        <v>0</v>
      </c>
      <c r="J401">
        <v>86</v>
      </c>
      <c r="K401">
        <v>2</v>
      </c>
      <c r="L401">
        <v>8</v>
      </c>
      <c r="M401">
        <v>900</v>
      </c>
      <c r="N401">
        <v>151628.31</v>
      </c>
      <c r="O401">
        <v>21287.7</v>
      </c>
      <c r="P401">
        <v>6646.08</v>
      </c>
      <c r="Q401">
        <v>114932.88</v>
      </c>
      <c r="R401">
        <v>1058.8</v>
      </c>
      <c r="S401">
        <v>5326</v>
      </c>
      <c r="T401">
        <v>0</v>
      </c>
      <c r="U401">
        <v>10187.1</v>
      </c>
      <c r="V401">
        <v>2170.5</v>
      </c>
      <c r="W401">
        <v>17658.099999999999</v>
      </c>
      <c r="X401">
        <v>78532.38</v>
      </c>
      <c r="Y401">
        <v>8761.65</v>
      </c>
      <c r="Z401">
        <v>0</v>
      </c>
      <c r="AA401">
        <v>0</v>
      </c>
      <c r="AB401">
        <v>1841000</v>
      </c>
      <c r="AC401" t="s">
        <v>251</v>
      </c>
    </row>
    <row r="402" spans="1:29" outlineLevel="1" x14ac:dyDescent="0.2">
      <c r="B402" s="386" t="s">
        <v>2587</v>
      </c>
      <c r="N402">
        <f>SUBTOTAL(9,N401:N401)</f>
        <v>151628.31</v>
      </c>
    </row>
    <row r="403" spans="1:29" outlineLevel="2" x14ac:dyDescent="0.2">
      <c r="A403">
        <v>506</v>
      </c>
      <c r="B403">
        <v>5515992</v>
      </c>
      <c r="C403">
        <v>55159925</v>
      </c>
      <c r="D403" t="s">
        <v>2138</v>
      </c>
      <c r="E403" t="s">
        <v>2367</v>
      </c>
      <c r="F403">
        <v>996000</v>
      </c>
      <c r="G403" t="s">
        <v>2384</v>
      </c>
      <c r="H403">
        <v>90534</v>
      </c>
      <c r="I403">
        <v>3</v>
      </c>
      <c r="J403">
        <v>74</v>
      </c>
      <c r="K403">
        <v>46</v>
      </c>
      <c r="L403">
        <v>0</v>
      </c>
      <c r="M403">
        <v>277.2</v>
      </c>
      <c r="N403">
        <v>45525.75</v>
      </c>
      <c r="O403">
        <v>0</v>
      </c>
      <c r="P403">
        <v>0</v>
      </c>
      <c r="Q403">
        <v>42349.45</v>
      </c>
      <c r="R403">
        <v>0</v>
      </c>
      <c r="S403">
        <v>652.95000000000005</v>
      </c>
      <c r="T403">
        <v>41696.5</v>
      </c>
      <c r="U403">
        <v>0</v>
      </c>
      <c r="V403">
        <v>0</v>
      </c>
      <c r="W403">
        <v>0</v>
      </c>
      <c r="X403">
        <v>0</v>
      </c>
      <c r="Y403">
        <v>3176.3</v>
      </c>
      <c r="Z403">
        <v>0</v>
      </c>
      <c r="AA403">
        <v>0</v>
      </c>
      <c r="AB403">
        <v>1996000</v>
      </c>
      <c r="AC403" t="s">
        <v>251</v>
      </c>
    </row>
    <row r="404" spans="1:29" outlineLevel="1" x14ac:dyDescent="0.2">
      <c r="B404" s="386" t="s">
        <v>2586</v>
      </c>
      <c r="N404">
        <f>SUBTOTAL(9,N403:N403)</f>
        <v>45525.75</v>
      </c>
    </row>
    <row r="405" spans="1:29" outlineLevel="2" x14ac:dyDescent="0.2">
      <c r="A405">
        <v>506</v>
      </c>
      <c r="B405">
        <v>5517362</v>
      </c>
      <c r="C405">
        <v>55173629</v>
      </c>
      <c r="D405" t="s">
        <v>2263</v>
      </c>
      <c r="E405" t="s">
        <v>2264</v>
      </c>
      <c r="F405">
        <v>621500</v>
      </c>
      <c r="G405" t="s">
        <v>2384</v>
      </c>
      <c r="H405">
        <v>90534</v>
      </c>
      <c r="I405">
        <v>0</v>
      </c>
      <c r="J405">
        <v>5</v>
      </c>
      <c r="K405">
        <v>41</v>
      </c>
      <c r="L405">
        <v>0</v>
      </c>
      <c r="M405">
        <v>900</v>
      </c>
      <c r="N405">
        <v>146084.85999999999</v>
      </c>
      <c r="O405">
        <v>10301.4</v>
      </c>
      <c r="P405">
        <v>6893.35</v>
      </c>
      <c r="Q405">
        <v>119881.26</v>
      </c>
      <c r="R405">
        <v>0</v>
      </c>
      <c r="S405">
        <v>7620</v>
      </c>
      <c r="T405">
        <v>0</v>
      </c>
      <c r="U405">
        <v>15750.3</v>
      </c>
      <c r="V405">
        <v>2354.4</v>
      </c>
      <c r="W405">
        <v>0</v>
      </c>
      <c r="X405">
        <v>94156.56</v>
      </c>
      <c r="Y405">
        <v>9008.85</v>
      </c>
      <c r="Z405">
        <v>0</v>
      </c>
      <c r="AA405">
        <v>0</v>
      </c>
      <c r="AB405">
        <v>1621500</v>
      </c>
      <c r="AC405" t="s">
        <v>251</v>
      </c>
    </row>
    <row r="406" spans="1:29" outlineLevel="1" x14ac:dyDescent="0.2">
      <c r="B406" s="386" t="s">
        <v>2585</v>
      </c>
      <c r="N406">
        <f>SUBTOTAL(9,N405:N405)</f>
        <v>146084.85999999999</v>
      </c>
    </row>
    <row r="407" spans="1:29" outlineLevel="2" x14ac:dyDescent="0.2">
      <c r="A407">
        <v>506</v>
      </c>
      <c r="B407">
        <v>5517367</v>
      </c>
      <c r="C407">
        <v>55173678</v>
      </c>
      <c r="D407" t="s">
        <v>2291</v>
      </c>
      <c r="E407" t="s">
        <v>2215</v>
      </c>
      <c r="F407">
        <v>813204</v>
      </c>
      <c r="G407" t="s">
        <v>2384</v>
      </c>
      <c r="H407">
        <v>90534</v>
      </c>
      <c r="I407">
        <v>0</v>
      </c>
      <c r="J407">
        <v>80</v>
      </c>
      <c r="K407">
        <v>1</v>
      </c>
      <c r="L407">
        <v>2</v>
      </c>
      <c r="M407">
        <v>450</v>
      </c>
      <c r="N407">
        <v>64502</v>
      </c>
      <c r="O407">
        <v>5234.8999999999996</v>
      </c>
      <c r="P407">
        <v>1898.73</v>
      </c>
      <c r="Q407">
        <v>53365.919999999998</v>
      </c>
      <c r="R407">
        <v>0</v>
      </c>
      <c r="S407">
        <v>3958.8</v>
      </c>
      <c r="T407">
        <v>0</v>
      </c>
      <c r="U407">
        <v>0</v>
      </c>
      <c r="V407">
        <v>1132.45</v>
      </c>
      <c r="W407">
        <v>0</v>
      </c>
      <c r="X407">
        <v>48274.67</v>
      </c>
      <c r="Y407">
        <v>4002.45</v>
      </c>
      <c r="Z407">
        <v>0</v>
      </c>
      <c r="AA407">
        <v>0</v>
      </c>
      <c r="AB407">
        <v>1813204</v>
      </c>
      <c r="AC407" t="s">
        <v>251</v>
      </c>
    </row>
    <row r="408" spans="1:29" outlineLevel="1" x14ac:dyDescent="0.2">
      <c r="B408" s="386" t="s">
        <v>2584</v>
      </c>
      <c r="N408">
        <f>SUBTOTAL(9,N407:N407)</f>
        <v>64502</v>
      </c>
    </row>
    <row r="409" spans="1:29" outlineLevel="2" x14ac:dyDescent="0.2">
      <c r="A409">
        <v>506</v>
      </c>
      <c r="B409">
        <v>5574954</v>
      </c>
      <c r="C409">
        <v>55749543</v>
      </c>
      <c r="D409" t="s">
        <v>2260</v>
      </c>
      <c r="E409" t="s">
        <v>2261</v>
      </c>
      <c r="F409">
        <v>615100</v>
      </c>
      <c r="G409" t="s">
        <v>2384</v>
      </c>
      <c r="H409">
        <v>90534</v>
      </c>
      <c r="I409">
        <v>0</v>
      </c>
      <c r="J409">
        <v>5</v>
      </c>
      <c r="K409">
        <v>5</v>
      </c>
      <c r="L409">
        <v>0</v>
      </c>
      <c r="M409">
        <v>450</v>
      </c>
      <c r="N409">
        <v>72495.77</v>
      </c>
      <c r="O409">
        <v>9874.4</v>
      </c>
      <c r="P409">
        <v>2155.4499999999998</v>
      </c>
      <c r="Q409">
        <v>56247.37</v>
      </c>
      <c r="R409">
        <v>0</v>
      </c>
      <c r="S409">
        <v>3195.6</v>
      </c>
      <c r="T409">
        <v>0</v>
      </c>
      <c r="U409">
        <v>0</v>
      </c>
      <c r="V409">
        <v>2235.65</v>
      </c>
      <c r="W409">
        <v>0</v>
      </c>
      <c r="X409">
        <v>50816.12</v>
      </c>
      <c r="Y409">
        <v>4218.55</v>
      </c>
      <c r="Z409">
        <v>0</v>
      </c>
      <c r="AA409">
        <v>0</v>
      </c>
      <c r="AB409">
        <v>1615100</v>
      </c>
      <c r="AC409" t="s">
        <v>251</v>
      </c>
    </row>
    <row r="410" spans="1:29" outlineLevel="1" x14ac:dyDescent="0.2">
      <c r="B410" s="386" t="s">
        <v>2583</v>
      </c>
      <c r="N410">
        <f>SUBTOTAL(9,N409:N409)</f>
        <v>72495.77</v>
      </c>
    </row>
    <row r="411" spans="1:29" outlineLevel="2" x14ac:dyDescent="0.2">
      <c r="A411">
        <v>506</v>
      </c>
      <c r="B411">
        <v>5575110</v>
      </c>
      <c r="C411">
        <v>55751101</v>
      </c>
      <c r="D411" t="s">
        <v>1329</v>
      </c>
      <c r="E411" t="s">
        <v>2368</v>
      </c>
      <c r="F411">
        <v>996000</v>
      </c>
      <c r="G411" t="s">
        <v>2384</v>
      </c>
      <c r="H411">
        <v>90534</v>
      </c>
      <c r="I411">
        <v>3</v>
      </c>
      <c r="J411">
        <v>5</v>
      </c>
      <c r="K411">
        <v>8</v>
      </c>
      <c r="L411">
        <v>0</v>
      </c>
      <c r="M411">
        <v>115.2</v>
      </c>
      <c r="N411">
        <v>7148.75</v>
      </c>
      <c r="O411">
        <v>0</v>
      </c>
      <c r="P411">
        <v>0</v>
      </c>
      <c r="Q411">
        <v>6649.85</v>
      </c>
      <c r="R411">
        <v>0</v>
      </c>
      <c r="S411">
        <v>271.35000000000002</v>
      </c>
      <c r="T411">
        <v>6378.5</v>
      </c>
      <c r="U411">
        <v>0</v>
      </c>
      <c r="V411">
        <v>0</v>
      </c>
      <c r="W411">
        <v>0</v>
      </c>
      <c r="X411">
        <v>0</v>
      </c>
      <c r="Y411">
        <v>498.9</v>
      </c>
      <c r="Z411">
        <v>0</v>
      </c>
      <c r="AA411">
        <v>0</v>
      </c>
      <c r="AB411">
        <v>1996000</v>
      </c>
      <c r="AC411" t="s">
        <v>251</v>
      </c>
    </row>
    <row r="412" spans="1:29" outlineLevel="1" x14ac:dyDescent="0.2">
      <c r="B412" s="386" t="s">
        <v>2582</v>
      </c>
      <c r="N412">
        <f>SUBTOTAL(9,N411:N411)</f>
        <v>7148.75</v>
      </c>
    </row>
    <row r="413" spans="1:29" outlineLevel="2" x14ac:dyDescent="0.2">
      <c r="A413">
        <v>506</v>
      </c>
      <c r="B413">
        <v>5575111</v>
      </c>
      <c r="C413">
        <v>55751119</v>
      </c>
      <c r="D413" t="s">
        <v>2216</v>
      </c>
      <c r="E413" t="s">
        <v>2270</v>
      </c>
      <c r="F413">
        <v>713000</v>
      </c>
      <c r="G413" t="s">
        <v>2384</v>
      </c>
      <c r="H413">
        <v>90534</v>
      </c>
      <c r="I413">
        <v>0</v>
      </c>
      <c r="J413">
        <v>5</v>
      </c>
      <c r="K413">
        <v>9</v>
      </c>
      <c r="L413">
        <v>0</v>
      </c>
      <c r="M413">
        <v>900</v>
      </c>
      <c r="N413">
        <v>79387.320000000007</v>
      </c>
      <c r="O413">
        <v>6331.3</v>
      </c>
      <c r="P413">
        <v>2804.8</v>
      </c>
      <c r="Q413">
        <v>65330.87</v>
      </c>
      <c r="R413">
        <v>0</v>
      </c>
      <c r="S413">
        <v>6772</v>
      </c>
      <c r="T413">
        <v>0</v>
      </c>
      <c r="U413">
        <v>0</v>
      </c>
      <c r="V413">
        <v>2034.95</v>
      </c>
      <c r="W413">
        <v>0</v>
      </c>
      <c r="X413">
        <v>56523.92</v>
      </c>
      <c r="Y413">
        <v>4920.3500000000004</v>
      </c>
      <c r="Z413">
        <v>0</v>
      </c>
      <c r="AA413">
        <v>0</v>
      </c>
      <c r="AB413">
        <v>1713000</v>
      </c>
      <c r="AC413" t="s">
        <v>251</v>
      </c>
    </row>
    <row r="414" spans="1:29" outlineLevel="1" x14ac:dyDescent="0.2">
      <c r="B414" s="386" t="s">
        <v>2581</v>
      </c>
      <c r="N414">
        <f>SUBTOTAL(9,N413:N413)</f>
        <v>79387.320000000007</v>
      </c>
    </row>
    <row r="415" spans="1:29" outlineLevel="2" x14ac:dyDescent="0.2">
      <c r="A415">
        <v>506</v>
      </c>
      <c r="B415">
        <v>5575149</v>
      </c>
      <c r="C415">
        <v>55751499</v>
      </c>
      <c r="D415" t="s">
        <v>2131</v>
      </c>
      <c r="E415" t="s">
        <v>2279</v>
      </c>
      <c r="F415">
        <v>742200</v>
      </c>
      <c r="G415" t="s">
        <v>2384</v>
      </c>
      <c r="H415">
        <v>90534</v>
      </c>
      <c r="I415">
        <v>0</v>
      </c>
      <c r="J415">
        <v>5</v>
      </c>
      <c r="K415">
        <v>7</v>
      </c>
      <c r="L415">
        <v>0</v>
      </c>
      <c r="M415">
        <v>900</v>
      </c>
      <c r="N415">
        <v>81382.710000000006</v>
      </c>
      <c r="O415">
        <v>11923.9</v>
      </c>
      <c r="P415">
        <v>2567.92</v>
      </c>
      <c r="Q415">
        <v>62207.49</v>
      </c>
      <c r="R415">
        <v>0</v>
      </c>
      <c r="S415">
        <v>5314</v>
      </c>
      <c r="T415">
        <v>0</v>
      </c>
      <c r="U415">
        <v>3263.25</v>
      </c>
      <c r="V415">
        <v>2112.4</v>
      </c>
      <c r="W415">
        <v>383.25</v>
      </c>
      <c r="X415">
        <v>51134.59</v>
      </c>
      <c r="Y415">
        <v>4683.3999999999996</v>
      </c>
      <c r="Z415">
        <v>0</v>
      </c>
      <c r="AA415">
        <v>0</v>
      </c>
      <c r="AB415">
        <v>1742200</v>
      </c>
      <c r="AC415" t="s">
        <v>251</v>
      </c>
    </row>
    <row r="416" spans="1:29" outlineLevel="1" x14ac:dyDescent="0.2">
      <c r="B416" s="386" t="s">
        <v>2580</v>
      </c>
      <c r="N416">
        <f>SUBTOTAL(9,N415:N415)</f>
        <v>81382.710000000006</v>
      </c>
    </row>
    <row r="417" spans="1:29" outlineLevel="2" x14ac:dyDescent="0.2">
      <c r="A417">
        <v>506</v>
      </c>
      <c r="B417">
        <v>5576214</v>
      </c>
      <c r="C417">
        <v>55762140</v>
      </c>
      <c r="D417" t="s">
        <v>2287</v>
      </c>
      <c r="E417" t="s">
        <v>2288</v>
      </c>
      <c r="F417">
        <v>812200</v>
      </c>
      <c r="G417" t="s">
        <v>2384</v>
      </c>
      <c r="H417">
        <v>90534</v>
      </c>
      <c r="I417">
        <v>0</v>
      </c>
      <c r="J417">
        <v>5</v>
      </c>
      <c r="K417">
        <v>4</v>
      </c>
      <c r="L417">
        <v>0</v>
      </c>
      <c r="M417">
        <v>664</v>
      </c>
      <c r="N417">
        <v>58382.96</v>
      </c>
      <c r="O417">
        <v>8942.7999999999993</v>
      </c>
      <c r="P417">
        <v>1557.87</v>
      </c>
      <c r="Q417">
        <v>44541.69</v>
      </c>
      <c r="R417">
        <v>0</v>
      </c>
      <c r="S417">
        <v>4260.8</v>
      </c>
      <c r="T417">
        <v>0</v>
      </c>
      <c r="U417">
        <v>0</v>
      </c>
      <c r="V417">
        <v>1131.0999999999999</v>
      </c>
      <c r="W417">
        <v>0</v>
      </c>
      <c r="X417">
        <v>39149.79</v>
      </c>
      <c r="Y417">
        <v>3340.6</v>
      </c>
      <c r="Z417">
        <v>0</v>
      </c>
      <c r="AA417">
        <v>0</v>
      </c>
      <c r="AB417">
        <v>1812200</v>
      </c>
      <c r="AC417" t="s">
        <v>251</v>
      </c>
    </row>
    <row r="418" spans="1:29" outlineLevel="2" x14ac:dyDescent="0.2">
      <c r="A418">
        <v>506</v>
      </c>
      <c r="B418">
        <v>5576214</v>
      </c>
      <c r="C418">
        <v>55762140</v>
      </c>
      <c r="D418" t="s">
        <v>2287</v>
      </c>
      <c r="E418" t="s">
        <v>2288</v>
      </c>
      <c r="F418">
        <v>812301</v>
      </c>
      <c r="G418" t="s">
        <v>2384</v>
      </c>
      <c r="H418">
        <v>90534</v>
      </c>
      <c r="I418">
        <v>0</v>
      </c>
      <c r="J418">
        <v>5</v>
      </c>
      <c r="K418">
        <v>4</v>
      </c>
      <c r="L418">
        <v>0</v>
      </c>
      <c r="M418">
        <v>83</v>
      </c>
      <c r="N418">
        <v>6502.24</v>
      </c>
      <c r="O418">
        <v>1014.15</v>
      </c>
      <c r="P418">
        <v>170.65</v>
      </c>
      <c r="Q418">
        <v>4946.4399999999996</v>
      </c>
      <c r="R418">
        <v>0</v>
      </c>
      <c r="S418">
        <v>0</v>
      </c>
      <c r="T418">
        <v>0</v>
      </c>
      <c r="U418">
        <v>0</v>
      </c>
      <c r="V418">
        <v>102.65</v>
      </c>
      <c r="W418">
        <v>0</v>
      </c>
      <c r="X418">
        <v>4843.79</v>
      </c>
      <c r="Y418">
        <v>371</v>
      </c>
      <c r="Z418">
        <v>0</v>
      </c>
      <c r="AA418">
        <v>0</v>
      </c>
      <c r="AB418">
        <v>1812301</v>
      </c>
      <c r="AC418" t="s">
        <v>251</v>
      </c>
    </row>
    <row r="419" spans="1:29" outlineLevel="1" x14ac:dyDescent="0.2">
      <c r="B419" s="386" t="s">
        <v>2579</v>
      </c>
      <c r="N419">
        <f>SUBTOTAL(9,N417:N418)</f>
        <v>64885.2</v>
      </c>
    </row>
    <row r="420" spans="1:29" outlineLevel="2" x14ac:dyDescent="0.2">
      <c r="A420">
        <v>506</v>
      </c>
      <c r="B420">
        <v>5581635</v>
      </c>
      <c r="C420">
        <v>55816359</v>
      </c>
      <c r="D420" t="s">
        <v>2138</v>
      </c>
      <c r="E420" t="s">
        <v>2251</v>
      </c>
      <c r="F420">
        <v>615000</v>
      </c>
      <c r="G420" t="s">
        <v>2384</v>
      </c>
      <c r="H420">
        <v>90534</v>
      </c>
      <c r="I420">
        <v>0</v>
      </c>
      <c r="J420">
        <v>5</v>
      </c>
      <c r="K420">
        <v>37</v>
      </c>
      <c r="L420">
        <v>0</v>
      </c>
      <c r="M420">
        <v>450</v>
      </c>
      <c r="N420">
        <v>50713.04</v>
      </c>
      <c r="O420">
        <v>4019.05</v>
      </c>
      <c r="P420">
        <v>1451.98</v>
      </c>
      <c r="Q420">
        <v>42085.56</v>
      </c>
      <c r="R420">
        <v>0</v>
      </c>
      <c r="S420">
        <v>3958.8</v>
      </c>
      <c r="T420">
        <v>0</v>
      </c>
      <c r="U420">
        <v>0</v>
      </c>
      <c r="V420">
        <v>1714.65</v>
      </c>
      <c r="W420">
        <v>0</v>
      </c>
      <c r="X420">
        <v>36412.11</v>
      </c>
      <c r="Y420">
        <v>3156.45</v>
      </c>
      <c r="Z420">
        <v>0</v>
      </c>
      <c r="AA420">
        <v>0</v>
      </c>
      <c r="AB420">
        <v>1615000</v>
      </c>
      <c r="AC420" t="s">
        <v>251</v>
      </c>
    </row>
    <row r="421" spans="1:29" outlineLevel="1" x14ac:dyDescent="0.2">
      <c r="B421" s="386" t="s">
        <v>2578</v>
      </c>
      <c r="N421">
        <f>SUBTOTAL(9,N420:N420)</f>
        <v>50713.04</v>
      </c>
    </row>
    <row r="422" spans="1:29" outlineLevel="2" x14ac:dyDescent="0.2">
      <c r="A422">
        <v>506</v>
      </c>
      <c r="B422">
        <v>5581656</v>
      </c>
      <c r="C422">
        <v>55816565</v>
      </c>
      <c r="D422" t="s">
        <v>2173</v>
      </c>
      <c r="E422" t="s">
        <v>2369</v>
      </c>
      <c r="F422">
        <v>996000</v>
      </c>
      <c r="G422" t="s">
        <v>2384</v>
      </c>
      <c r="H422">
        <v>90534</v>
      </c>
      <c r="I422">
        <v>3</v>
      </c>
      <c r="J422">
        <v>5</v>
      </c>
      <c r="K422">
        <v>39</v>
      </c>
      <c r="L422">
        <v>0</v>
      </c>
      <c r="M422">
        <v>602.1</v>
      </c>
      <c r="N422">
        <v>51330.65</v>
      </c>
      <c r="O422">
        <v>0</v>
      </c>
      <c r="P422">
        <v>0</v>
      </c>
      <c r="Q422">
        <v>47749.3</v>
      </c>
      <c r="R422">
        <v>0</v>
      </c>
      <c r="S422">
        <v>1418.3</v>
      </c>
      <c r="T422">
        <v>46331</v>
      </c>
      <c r="U422">
        <v>0</v>
      </c>
      <c r="V422">
        <v>0</v>
      </c>
      <c r="W422">
        <v>0</v>
      </c>
      <c r="X422">
        <v>0</v>
      </c>
      <c r="Y422">
        <v>3581.35</v>
      </c>
      <c r="Z422">
        <v>0</v>
      </c>
      <c r="AA422">
        <v>0</v>
      </c>
      <c r="AB422">
        <v>1996000</v>
      </c>
      <c r="AC422" t="s">
        <v>251</v>
      </c>
    </row>
    <row r="423" spans="1:29" outlineLevel="1" x14ac:dyDescent="0.2">
      <c r="B423" s="386" t="s">
        <v>2577</v>
      </c>
      <c r="N423">
        <f>SUBTOTAL(9,N422:N422)</f>
        <v>51330.65</v>
      </c>
    </row>
    <row r="424" spans="1:29" outlineLevel="2" x14ac:dyDescent="0.2">
      <c r="A424">
        <v>506</v>
      </c>
      <c r="B424">
        <v>5581774</v>
      </c>
      <c r="C424">
        <v>55817746</v>
      </c>
      <c r="D424" t="s">
        <v>2190</v>
      </c>
      <c r="E424" t="s">
        <v>2289</v>
      </c>
      <c r="F424">
        <v>814000</v>
      </c>
      <c r="G424" t="s">
        <v>2384</v>
      </c>
      <c r="H424">
        <v>90534</v>
      </c>
      <c r="I424">
        <v>0</v>
      </c>
      <c r="J424">
        <v>5</v>
      </c>
      <c r="K424">
        <v>37</v>
      </c>
      <c r="L424">
        <v>0</v>
      </c>
      <c r="M424">
        <v>420</v>
      </c>
      <c r="N424">
        <v>47010.86</v>
      </c>
      <c r="O424">
        <v>3175.45</v>
      </c>
      <c r="P424">
        <v>1138.6300000000001</v>
      </c>
      <c r="Q424">
        <v>33004.080000000002</v>
      </c>
      <c r="R424">
        <v>0</v>
      </c>
      <c r="S424">
        <v>3958.8</v>
      </c>
      <c r="T424">
        <v>0</v>
      </c>
      <c r="U424">
        <v>0</v>
      </c>
      <c r="V424">
        <v>1298.0999999999999</v>
      </c>
      <c r="W424">
        <v>0</v>
      </c>
      <c r="X424">
        <v>27747.18</v>
      </c>
      <c r="Y424">
        <v>2978.8</v>
      </c>
      <c r="Z424">
        <v>0</v>
      </c>
      <c r="AA424">
        <v>0</v>
      </c>
      <c r="AB424">
        <v>1814000</v>
      </c>
      <c r="AC424" t="s">
        <v>251</v>
      </c>
    </row>
    <row r="425" spans="1:29" outlineLevel="2" x14ac:dyDescent="0.2">
      <c r="A425">
        <v>506</v>
      </c>
      <c r="B425">
        <v>5581774</v>
      </c>
      <c r="C425">
        <v>55817746</v>
      </c>
      <c r="D425" t="s">
        <v>2190</v>
      </c>
      <c r="E425" t="s">
        <v>2289</v>
      </c>
      <c r="F425">
        <v>996000</v>
      </c>
      <c r="G425" t="s">
        <v>2384</v>
      </c>
      <c r="H425">
        <v>90534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3364.6</v>
      </c>
      <c r="O425">
        <v>0</v>
      </c>
      <c r="P425">
        <v>0</v>
      </c>
      <c r="Q425">
        <v>3129.85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3129.85</v>
      </c>
      <c r="Y425">
        <v>234.75</v>
      </c>
      <c r="Z425">
        <v>0</v>
      </c>
      <c r="AA425">
        <v>0</v>
      </c>
      <c r="AB425">
        <v>1996000</v>
      </c>
      <c r="AC425" t="s">
        <v>251</v>
      </c>
    </row>
    <row r="426" spans="1:29" outlineLevel="1" x14ac:dyDescent="0.2">
      <c r="B426" s="386" t="s">
        <v>2576</v>
      </c>
      <c r="N426">
        <f>SUBTOTAL(9,N424:N425)</f>
        <v>50375.46</v>
      </c>
    </row>
    <row r="427" spans="1:29" outlineLevel="2" x14ac:dyDescent="0.2">
      <c r="A427">
        <v>506</v>
      </c>
      <c r="B427">
        <v>5625569</v>
      </c>
      <c r="C427">
        <v>56255698</v>
      </c>
      <c r="D427" t="s">
        <v>1459</v>
      </c>
      <c r="E427" t="s">
        <v>2183</v>
      </c>
      <c r="F427">
        <v>813202</v>
      </c>
      <c r="G427" t="s">
        <v>2384</v>
      </c>
      <c r="H427">
        <v>90534</v>
      </c>
      <c r="I427">
        <v>0</v>
      </c>
      <c r="J427">
        <v>5</v>
      </c>
      <c r="K427">
        <v>5</v>
      </c>
      <c r="L427">
        <v>0</v>
      </c>
      <c r="M427">
        <v>450</v>
      </c>
      <c r="N427">
        <v>44972.37</v>
      </c>
      <c r="O427">
        <v>6810.45</v>
      </c>
      <c r="P427">
        <v>1186.6600000000001</v>
      </c>
      <c r="Q427">
        <v>34395.56</v>
      </c>
      <c r="R427">
        <v>0</v>
      </c>
      <c r="S427">
        <v>3195.6</v>
      </c>
      <c r="T427">
        <v>0</v>
      </c>
      <c r="U427">
        <v>0</v>
      </c>
      <c r="V427">
        <v>1447</v>
      </c>
      <c r="W427">
        <v>0</v>
      </c>
      <c r="X427">
        <v>29752.959999999999</v>
      </c>
      <c r="Y427">
        <v>2579.6999999999998</v>
      </c>
      <c r="Z427">
        <v>0</v>
      </c>
      <c r="AA427">
        <v>0</v>
      </c>
      <c r="AB427">
        <v>1813202</v>
      </c>
      <c r="AC427" t="s">
        <v>251</v>
      </c>
    </row>
    <row r="428" spans="1:29" outlineLevel="1" x14ac:dyDescent="0.2">
      <c r="B428" s="386" t="s">
        <v>2575</v>
      </c>
      <c r="N428">
        <f>SUBTOTAL(9,N427:N427)</f>
        <v>44972.37</v>
      </c>
    </row>
    <row r="429" spans="1:29" outlineLevel="2" x14ac:dyDescent="0.2">
      <c r="A429">
        <v>506</v>
      </c>
      <c r="B429">
        <v>5625612</v>
      </c>
      <c r="C429">
        <v>56256126</v>
      </c>
      <c r="D429" t="s">
        <v>2157</v>
      </c>
      <c r="E429" t="s">
        <v>2320</v>
      </c>
      <c r="F429">
        <v>813320</v>
      </c>
      <c r="G429" t="s">
        <v>2384</v>
      </c>
      <c r="H429">
        <v>90534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24061.439999999999</v>
      </c>
      <c r="O429">
        <v>2458.5500000000002</v>
      </c>
      <c r="P429">
        <v>671.74</v>
      </c>
      <c r="Q429">
        <v>19470.8</v>
      </c>
      <c r="R429">
        <v>0</v>
      </c>
      <c r="S429">
        <v>0</v>
      </c>
      <c r="T429">
        <v>0</v>
      </c>
      <c r="U429">
        <v>0</v>
      </c>
      <c r="V429">
        <v>1258.7</v>
      </c>
      <c r="W429">
        <v>0</v>
      </c>
      <c r="X429">
        <v>18212.099999999999</v>
      </c>
      <c r="Y429">
        <v>1460.35</v>
      </c>
      <c r="Z429">
        <v>0</v>
      </c>
      <c r="AA429">
        <v>0</v>
      </c>
      <c r="AB429">
        <v>1813320</v>
      </c>
      <c r="AC429" t="s">
        <v>251</v>
      </c>
    </row>
    <row r="430" spans="1:29" outlineLevel="2" x14ac:dyDescent="0.2">
      <c r="A430">
        <v>506</v>
      </c>
      <c r="B430">
        <v>5625612</v>
      </c>
      <c r="C430">
        <v>56256126</v>
      </c>
      <c r="D430" t="s">
        <v>2157</v>
      </c>
      <c r="E430" t="s">
        <v>2320</v>
      </c>
      <c r="F430">
        <v>841300</v>
      </c>
      <c r="G430" t="s">
        <v>2384</v>
      </c>
      <c r="H430">
        <v>90534</v>
      </c>
      <c r="I430">
        <v>1</v>
      </c>
      <c r="J430">
        <v>0</v>
      </c>
      <c r="K430">
        <v>0</v>
      </c>
      <c r="L430">
        <v>0</v>
      </c>
      <c r="M430">
        <v>0</v>
      </c>
      <c r="N430">
        <v>2585.27</v>
      </c>
      <c r="O430">
        <v>275.75</v>
      </c>
      <c r="P430">
        <v>71.819999999999993</v>
      </c>
      <c r="Q430">
        <v>2081.6</v>
      </c>
      <c r="R430">
        <v>0</v>
      </c>
      <c r="S430">
        <v>0</v>
      </c>
      <c r="T430">
        <v>0</v>
      </c>
      <c r="U430">
        <v>0</v>
      </c>
      <c r="V430">
        <v>38.700000000000003</v>
      </c>
      <c r="W430">
        <v>0</v>
      </c>
      <c r="X430">
        <v>2042.9</v>
      </c>
      <c r="Y430">
        <v>156.1</v>
      </c>
      <c r="Z430">
        <v>0</v>
      </c>
      <c r="AA430">
        <v>0</v>
      </c>
      <c r="AB430">
        <v>1841300</v>
      </c>
      <c r="AC430" t="s">
        <v>251</v>
      </c>
    </row>
    <row r="431" spans="1:29" outlineLevel="1" x14ac:dyDescent="0.2">
      <c r="B431" s="386" t="s">
        <v>2574</v>
      </c>
      <c r="N431">
        <f>SUBTOTAL(9,N429:N430)</f>
        <v>26646.71</v>
      </c>
    </row>
    <row r="432" spans="1:29" outlineLevel="2" x14ac:dyDescent="0.2">
      <c r="A432">
        <v>506</v>
      </c>
      <c r="B432">
        <v>5625625</v>
      </c>
      <c r="C432">
        <v>56256258</v>
      </c>
      <c r="D432" t="s">
        <v>1419</v>
      </c>
      <c r="E432" t="s">
        <v>2184</v>
      </c>
      <c r="F432">
        <v>813202</v>
      </c>
      <c r="G432" t="s">
        <v>2384</v>
      </c>
      <c r="H432">
        <v>90534</v>
      </c>
      <c r="I432">
        <v>0</v>
      </c>
      <c r="J432">
        <v>5</v>
      </c>
      <c r="K432">
        <v>5</v>
      </c>
      <c r="L432">
        <v>0</v>
      </c>
      <c r="M432">
        <v>450</v>
      </c>
      <c r="N432">
        <v>46129.27</v>
      </c>
      <c r="O432">
        <v>6967.95</v>
      </c>
      <c r="P432">
        <v>1217.73</v>
      </c>
      <c r="Q432">
        <v>35296.339999999997</v>
      </c>
      <c r="R432">
        <v>0</v>
      </c>
      <c r="S432">
        <v>3195.6</v>
      </c>
      <c r="T432">
        <v>0</v>
      </c>
      <c r="U432">
        <v>0</v>
      </c>
      <c r="V432">
        <v>1785.9</v>
      </c>
      <c r="W432">
        <v>0</v>
      </c>
      <c r="X432">
        <v>30314.84</v>
      </c>
      <c r="Y432">
        <v>2647.25</v>
      </c>
      <c r="Z432">
        <v>0</v>
      </c>
      <c r="AA432">
        <v>0</v>
      </c>
      <c r="AB432">
        <v>1813202</v>
      </c>
      <c r="AC432" t="s">
        <v>251</v>
      </c>
    </row>
    <row r="433" spans="1:29" outlineLevel="1" x14ac:dyDescent="0.2">
      <c r="B433" s="386" t="s">
        <v>2573</v>
      </c>
      <c r="N433">
        <f>SUBTOTAL(9,N432:N432)</f>
        <v>46129.27</v>
      </c>
    </row>
    <row r="434" spans="1:29" outlineLevel="2" x14ac:dyDescent="0.2">
      <c r="A434">
        <v>506</v>
      </c>
      <c r="B434">
        <v>5625702</v>
      </c>
      <c r="C434">
        <v>56257025</v>
      </c>
      <c r="D434" t="s">
        <v>2180</v>
      </c>
      <c r="E434" t="s">
        <v>2324</v>
      </c>
      <c r="F434">
        <v>913000</v>
      </c>
      <c r="G434" t="s">
        <v>2384</v>
      </c>
      <c r="H434">
        <v>90534</v>
      </c>
      <c r="I434">
        <v>0</v>
      </c>
      <c r="J434">
        <v>5</v>
      </c>
      <c r="K434">
        <v>12</v>
      </c>
      <c r="L434">
        <v>0</v>
      </c>
      <c r="M434">
        <v>900</v>
      </c>
      <c r="N434">
        <v>155999.97</v>
      </c>
      <c r="O434">
        <v>11017.8</v>
      </c>
      <c r="P434">
        <v>9511.6</v>
      </c>
      <c r="Q434">
        <v>123843.42</v>
      </c>
      <c r="R434">
        <v>20321.099999999999</v>
      </c>
      <c r="S434">
        <v>7620</v>
      </c>
      <c r="T434">
        <v>0</v>
      </c>
      <c r="U434">
        <v>0</v>
      </c>
      <c r="V434">
        <v>437.4</v>
      </c>
      <c r="W434">
        <v>24156.6</v>
      </c>
      <c r="X434">
        <v>71308.320000000007</v>
      </c>
      <c r="Y434">
        <v>11627.15</v>
      </c>
      <c r="Z434">
        <v>0</v>
      </c>
      <c r="AA434">
        <v>0</v>
      </c>
      <c r="AB434">
        <v>1913000</v>
      </c>
      <c r="AC434" t="s">
        <v>251</v>
      </c>
    </row>
    <row r="435" spans="1:29" outlineLevel="1" x14ac:dyDescent="0.2">
      <c r="B435" s="386" t="s">
        <v>2572</v>
      </c>
      <c r="N435">
        <f>SUBTOTAL(9,N434:N434)</f>
        <v>155999.97</v>
      </c>
    </row>
    <row r="436" spans="1:29" outlineLevel="2" x14ac:dyDescent="0.2">
      <c r="A436">
        <v>506</v>
      </c>
      <c r="B436">
        <v>5625888</v>
      </c>
      <c r="C436">
        <v>56258882</v>
      </c>
      <c r="D436" t="s">
        <v>1419</v>
      </c>
      <c r="E436" t="s">
        <v>1419</v>
      </c>
      <c r="F436">
        <v>819000</v>
      </c>
      <c r="G436" t="s">
        <v>2384</v>
      </c>
      <c r="H436">
        <v>90534</v>
      </c>
      <c r="I436">
        <v>0</v>
      </c>
      <c r="J436">
        <v>3</v>
      </c>
      <c r="K436">
        <v>2</v>
      </c>
      <c r="L436">
        <v>0</v>
      </c>
      <c r="M436">
        <v>900</v>
      </c>
      <c r="N436">
        <v>159089.28</v>
      </c>
      <c r="O436">
        <v>11810.35</v>
      </c>
      <c r="P436">
        <v>7660.5</v>
      </c>
      <c r="Q436">
        <v>129860.57</v>
      </c>
      <c r="R436">
        <v>0</v>
      </c>
      <c r="S436">
        <v>7620</v>
      </c>
      <c r="T436">
        <v>4254.3</v>
      </c>
      <c r="U436">
        <v>8638.15</v>
      </c>
      <c r="V436">
        <v>1932.45</v>
      </c>
      <c r="W436">
        <v>0</v>
      </c>
      <c r="X436">
        <v>107415.67</v>
      </c>
      <c r="Y436">
        <v>9757.86</v>
      </c>
      <c r="Z436">
        <v>0</v>
      </c>
      <c r="AA436">
        <v>0</v>
      </c>
      <c r="AB436">
        <v>1819000</v>
      </c>
      <c r="AC436" t="s">
        <v>251</v>
      </c>
    </row>
    <row r="437" spans="1:29" outlineLevel="2" x14ac:dyDescent="0.2">
      <c r="A437">
        <v>506</v>
      </c>
      <c r="B437">
        <v>5625888</v>
      </c>
      <c r="C437">
        <v>56258882</v>
      </c>
      <c r="D437" t="s">
        <v>1419</v>
      </c>
      <c r="E437" t="s">
        <v>1419</v>
      </c>
      <c r="F437">
        <v>828000</v>
      </c>
      <c r="G437" t="s">
        <v>2384</v>
      </c>
      <c r="H437">
        <v>90534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1131.81</v>
      </c>
      <c r="O437">
        <v>0</v>
      </c>
      <c r="P437">
        <v>56.82</v>
      </c>
      <c r="Q437">
        <v>1000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1000</v>
      </c>
      <c r="Y437">
        <v>74.989999999999995</v>
      </c>
      <c r="Z437">
        <v>0</v>
      </c>
      <c r="AA437">
        <v>0</v>
      </c>
      <c r="AB437">
        <v>1828000</v>
      </c>
      <c r="AC437" t="s">
        <v>251</v>
      </c>
    </row>
    <row r="438" spans="1:29" outlineLevel="1" x14ac:dyDescent="0.2">
      <c r="B438" s="386" t="s">
        <v>2571</v>
      </c>
      <c r="N438">
        <f>SUBTOTAL(9,N436:N437)</f>
        <v>160221.09</v>
      </c>
    </row>
    <row r="439" spans="1:29" outlineLevel="2" x14ac:dyDescent="0.2">
      <c r="A439">
        <v>506</v>
      </c>
      <c r="B439">
        <v>5625907</v>
      </c>
      <c r="C439">
        <v>56259070</v>
      </c>
      <c r="D439" t="s">
        <v>2112</v>
      </c>
      <c r="E439" t="s">
        <v>2370</v>
      </c>
      <c r="F439">
        <v>996000</v>
      </c>
      <c r="G439" t="s">
        <v>2384</v>
      </c>
      <c r="H439">
        <v>90534</v>
      </c>
      <c r="I439">
        <v>3</v>
      </c>
      <c r="J439">
        <v>72</v>
      </c>
      <c r="K439">
        <v>74</v>
      </c>
      <c r="L439">
        <v>0</v>
      </c>
      <c r="M439">
        <v>576</v>
      </c>
      <c r="N439">
        <v>93009.35</v>
      </c>
      <c r="O439">
        <v>0</v>
      </c>
      <c r="P439">
        <v>0</v>
      </c>
      <c r="Q439">
        <v>86520.25</v>
      </c>
      <c r="R439">
        <v>0</v>
      </c>
      <c r="S439">
        <v>1356.8</v>
      </c>
      <c r="T439">
        <v>85163.45</v>
      </c>
      <c r="U439">
        <v>0</v>
      </c>
      <c r="V439">
        <v>0</v>
      </c>
      <c r="W439">
        <v>0</v>
      </c>
      <c r="X439">
        <v>0</v>
      </c>
      <c r="Y439">
        <v>6489.1</v>
      </c>
      <c r="Z439">
        <v>0</v>
      </c>
      <c r="AA439">
        <v>0</v>
      </c>
      <c r="AB439">
        <v>1996000</v>
      </c>
      <c r="AC439" t="s">
        <v>251</v>
      </c>
    </row>
    <row r="440" spans="1:29" outlineLevel="1" x14ac:dyDescent="0.2">
      <c r="B440" s="386" t="s">
        <v>2570</v>
      </c>
      <c r="N440">
        <f>SUBTOTAL(9,N439:N439)</f>
        <v>93009.35</v>
      </c>
    </row>
    <row r="441" spans="1:29" outlineLevel="2" x14ac:dyDescent="0.2">
      <c r="A441">
        <v>506</v>
      </c>
      <c r="B441">
        <v>5625919</v>
      </c>
      <c r="C441">
        <v>56259195</v>
      </c>
      <c r="D441" t="s">
        <v>2180</v>
      </c>
      <c r="E441" t="s">
        <v>2371</v>
      </c>
      <c r="F441">
        <v>996000</v>
      </c>
      <c r="G441" t="s">
        <v>2384</v>
      </c>
      <c r="H441">
        <v>90534</v>
      </c>
      <c r="I441">
        <v>3</v>
      </c>
      <c r="J441">
        <v>5</v>
      </c>
      <c r="K441">
        <v>8</v>
      </c>
      <c r="L441">
        <v>0</v>
      </c>
      <c r="M441">
        <v>328.5</v>
      </c>
      <c r="N441">
        <v>22795.1</v>
      </c>
      <c r="O441">
        <v>0</v>
      </c>
      <c r="P441">
        <v>0</v>
      </c>
      <c r="Q441">
        <v>21204.85</v>
      </c>
      <c r="R441">
        <v>0</v>
      </c>
      <c r="S441">
        <v>773.8</v>
      </c>
      <c r="T441">
        <v>20431.05</v>
      </c>
      <c r="U441">
        <v>0</v>
      </c>
      <c r="V441">
        <v>0</v>
      </c>
      <c r="W441">
        <v>0</v>
      </c>
      <c r="X441">
        <v>0</v>
      </c>
      <c r="Y441">
        <v>1590.25</v>
      </c>
      <c r="Z441">
        <v>0</v>
      </c>
      <c r="AA441">
        <v>0</v>
      </c>
      <c r="AB441">
        <v>1996000</v>
      </c>
      <c r="AC441" t="s">
        <v>251</v>
      </c>
    </row>
    <row r="442" spans="1:29" outlineLevel="1" x14ac:dyDescent="0.2">
      <c r="B442" s="386" t="s">
        <v>2569</v>
      </c>
      <c r="N442">
        <f>SUBTOTAL(9,N441:N441)</f>
        <v>22795.1</v>
      </c>
    </row>
    <row r="443" spans="1:29" outlineLevel="2" x14ac:dyDescent="0.2">
      <c r="A443">
        <v>506</v>
      </c>
      <c r="B443">
        <v>5631585</v>
      </c>
      <c r="C443">
        <v>56315856</v>
      </c>
      <c r="D443" t="s">
        <v>2123</v>
      </c>
      <c r="E443" t="s">
        <v>2124</v>
      </c>
      <c r="F443">
        <v>812200</v>
      </c>
      <c r="G443" t="s">
        <v>2384</v>
      </c>
      <c r="H443">
        <v>90534</v>
      </c>
      <c r="I443">
        <v>0</v>
      </c>
      <c r="J443">
        <v>5</v>
      </c>
      <c r="K443">
        <v>37</v>
      </c>
      <c r="L443">
        <v>0</v>
      </c>
      <c r="M443">
        <v>664</v>
      </c>
      <c r="N443">
        <v>79739.210000000006</v>
      </c>
      <c r="O443">
        <v>5706.7</v>
      </c>
      <c r="P443">
        <v>2986.92</v>
      </c>
      <c r="Q443">
        <v>66088.800000000003</v>
      </c>
      <c r="R443">
        <v>0</v>
      </c>
      <c r="S443">
        <v>5828.25</v>
      </c>
      <c r="T443">
        <v>0</v>
      </c>
      <c r="U443">
        <v>0</v>
      </c>
      <c r="V443">
        <v>1068.3</v>
      </c>
      <c r="W443">
        <v>0</v>
      </c>
      <c r="X443">
        <v>59192.25</v>
      </c>
      <c r="Y443">
        <v>4956.79</v>
      </c>
      <c r="Z443">
        <v>0</v>
      </c>
      <c r="AA443">
        <v>0</v>
      </c>
      <c r="AB443">
        <v>1812200</v>
      </c>
      <c r="AC443" t="s">
        <v>251</v>
      </c>
    </row>
    <row r="444" spans="1:29" outlineLevel="2" x14ac:dyDescent="0.2">
      <c r="A444">
        <v>506</v>
      </c>
      <c r="B444">
        <v>5631585</v>
      </c>
      <c r="C444">
        <v>56315856</v>
      </c>
      <c r="D444" t="s">
        <v>2123</v>
      </c>
      <c r="E444" t="s">
        <v>2124</v>
      </c>
      <c r="F444">
        <v>812300</v>
      </c>
      <c r="G444" t="s">
        <v>2384</v>
      </c>
      <c r="H444">
        <v>90534</v>
      </c>
      <c r="I444">
        <v>0</v>
      </c>
      <c r="J444">
        <v>5</v>
      </c>
      <c r="K444">
        <v>37</v>
      </c>
      <c r="L444">
        <v>0</v>
      </c>
      <c r="M444">
        <v>83</v>
      </c>
      <c r="N444">
        <v>7603.03</v>
      </c>
      <c r="O444">
        <v>614.5</v>
      </c>
      <c r="P444">
        <v>319.47000000000003</v>
      </c>
      <c r="Q444">
        <v>6203.85</v>
      </c>
      <c r="R444">
        <v>0</v>
      </c>
      <c r="S444">
        <v>0</v>
      </c>
      <c r="T444">
        <v>0</v>
      </c>
      <c r="U444">
        <v>0</v>
      </c>
      <c r="V444">
        <v>117.8</v>
      </c>
      <c r="W444">
        <v>0</v>
      </c>
      <c r="X444">
        <v>6086.05</v>
      </c>
      <c r="Y444">
        <v>465.21</v>
      </c>
      <c r="Z444">
        <v>0</v>
      </c>
      <c r="AA444">
        <v>0</v>
      </c>
      <c r="AB444">
        <v>1812300</v>
      </c>
      <c r="AC444" t="s">
        <v>251</v>
      </c>
    </row>
    <row r="445" spans="1:29" outlineLevel="1" x14ac:dyDescent="0.2">
      <c r="B445" s="386" t="s">
        <v>2568</v>
      </c>
      <c r="N445">
        <f>SUBTOTAL(9,N443:N444)</f>
        <v>87342.24</v>
      </c>
    </row>
    <row r="446" spans="1:29" outlineLevel="2" x14ac:dyDescent="0.2">
      <c r="A446">
        <v>506</v>
      </c>
      <c r="B446">
        <v>5631600</v>
      </c>
      <c r="C446">
        <v>56316003</v>
      </c>
      <c r="D446" t="s">
        <v>1390</v>
      </c>
      <c r="E446" t="s">
        <v>2227</v>
      </c>
      <c r="F446">
        <v>814000</v>
      </c>
      <c r="G446" t="s">
        <v>2384</v>
      </c>
      <c r="H446">
        <v>90534</v>
      </c>
      <c r="I446">
        <v>0</v>
      </c>
      <c r="J446">
        <v>5</v>
      </c>
      <c r="K446">
        <v>37</v>
      </c>
      <c r="L446">
        <v>0</v>
      </c>
      <c r="M446">
        <v>450</v>
      </c>
      <c r="N446">
        <v>48089.39</v>
      </c>
      <c r="O446">
        <v>3830.4</v>
      </c>
      <c r="P446">
        <v>1386.04</v>
      </c>
      <c r="Q446">
        <v>39859.85</v>
      </c>
      <c r="R446">
        <v>0</v>
      </c>
      <c r="S446">
        <v>3810.7</v>
      </c>
      <c r="T446">
        <v>0</v>
      </c>
      <c r="U446">
        <v>0</v>
      </c>
      <c r="V446">
        <v>1725.75</v>
      </c>
      <c r="W446">
        <v>0</v>
      </c>
      <c r="X446">
        <v>34323.4</v>
      </c>
      <c r="Y446">
        <v>3013.1</v>
      </c>
      <c r="Z446">
        <v>0</v>
      </c>
      <c r="AA446">
        <v>0</v>
      </c>
      <c r="AB446">
        <v>1814000</v>
      </c>
      <c r="AC446" t="s">
        <v>251</v>
      </c>
    </row>
    <row r="447" spans="1:29" outlineLevel="1" x14ac:dyDescent="0.2">
      <c r="B447" s="386" t="s">
        <v>2567</v>
      </c>
      <c r="N447">
        <f>SUBTOTAL(9,N446:N446)</f>
        <v>48089.39</v>
      </c>
    </row>
    <row r="448" spans="1:29" outlineLevel="2" x14ac:dyDescent="0.2">
      <c r="A448">
        <v>506</v>
      </c>
      <c r="B448">
        <v>5631784</v>
      </c>
      <c r="C448">
        <v>56317845</v>
      </c>
      <c r="D448" t="s">
        <v>2429</v>
      </c>
      <c r="E448" t="s">
        <v>2145</v>
      </c>
      <c r="F448">
        <v>817800</v>
      </c>
      <c r="G448" t="s">
        <v>2384</v>
      </c>
      <c r="H448">
        <v>90534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10321.94</v>
      </c>
      <c r="O448">
        <v>0</v>
      </c>
      <c r="P448">
        <v>453.44</v>
      </c>
      <c r="Q448">
        <v>9180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9180</v>
      </c>
      <c r="Y448">
        <v>688.5</v>
      </c>
      <c r="Z448">
        <v>0</v>
      </c>
      <c r="AA448">
        <v>0</v>
      </c>
      <c r="AB448">
        <v>1817800</v>
      </c>
      <c r="AC448" t="s">
        <v>251</v>
      </c>
    </row>
    <row r="449" spans="1:29" outlineLevel="1" x14ac:dyDescent="0.2">
      <c r="B449" s="386" t="s">
        <v>2566</v>
      </c>
      <c r="N449">
        <f>SUBTOTAL(9,N448:N448)</f>
        <v>10321.94</v>
      </c>
    </row>
    <row r="450" spans="1:29" outlineLevel="2" x14ac:dyDescent="0.2">
      <c r="A450">
        <v>506</v>
      </c>
      <c r="B450">
        <v>5688038</v>
      </c>
      <c r="C450">
        <v>56880388</v>
      </c>
      <c r="D450" t="s">
        <v>2372</v>
      </c>
      <c r="E450" t="s">
        <v>2373</v>
      </c>
      <c r="F450">
        <v>996000</v>
      </c>
      <c r="G450" t="s">
        <v>2384</v>
      </c>
      <c r="H450">
        <v>90534</v>
      </c>
      <c r="I450">
        <v>3</v>
      </c>
      <c r="J450">
        <v>5</v>
      </c>
      <c r="K450">
        <v>7</v>
      </c>
      <c r="L450">
        <v>0</v>
      </c>
      <c r="M450">
        <v>274.5</v>
      </c>
      <c r="N450">
        <v>17546</v>
      </c>
      <c r="O450">
        <v>0</v>
      </c>
      <c r="P450">
        <v>0</v>
      </c>
      <c r="Q450">
        <v>16321.8</v>
      </c>
      <c r="R450">
        <v>0</v>
      </c>
      <c r="S450">
        <v>463.9</v>
      </c>
      <c r="T450">
        <v>15857.9</v>
      </c>
      <c r="U450">
        <v>0</v>
      </c>
      <c r="V450">
        <v>0</v>
      </c>
      <c r="W450">
        <v>0</v>
      </c>
      <c r="X450">
        <v>0</v>
      </c>
      <c r="Y450">
        <v>1224.2</v>
      </c>
      <c r="Z450">
        <v>0</v>
      </c>
      <c r="AA450">
        <v>0</v>
      </c>
      <c r="AB450">
        <v>1996000</v>
      </c>
      <c r="AC450" t="s">
        <v>251</v>
      </c>
    </row>
    <row r="451" spans="1:29" outlineLevel="1" x14ac:dyDescent="0.2">
      <c r="B451" s="386" t="s">
        <v>2565</v>
      </c>
      <c r="N451">
        <f>SUBTOTAL(9,N450:N450)</f>
        <v>17546</v>
      </c>
    </row>
    <row r="452" spans="1:29" outlineLevel="2" x14ac:dyDescent="0.2">
      <c r="A452">
        <v>506</v>
      </c>
      <c r="B452">
        <v>5688074</v>
      </c>
      <c r="C452">
        <v>56880743</v>
      </c>
      <c r="D452" t="s">
        <v>2164</v>
      </c>
      <c r="E452" t="s">
        <v>2197</v>
      </c>
      <c r="F452">
        <v>815200</v>
      </c>
      <c r="G452" t="s">
        <v>2384</v>
      </c>
      <c r="H452">
        <v>90534</v>
      </c>
      <c r="I452">
        <v>0</v>
      </c>
      <c r="J452">
        <v>93</v>
      </c>
      <c r="K452">
        <v>1</v>
      </c>
      <c r="L452">
        <v>0</v>
      </c>
      <c r="M452">
        <v>269.60000000000002</v>
      </c>
      <c r="N452">
        <v>46754.92</v>
      </c>
      <c r="O452">
        <v>4913.3999999999996</v>
      </c>
      <c r="P452">
        <v>1468.34</v>
      </c>
      <c r="Q452">
        <v>37213.629999999997</v>
      </c>
      <c r="R452">
        <v>0</v>
      </c>
      <c r="S452">
        <v>1000.2</v>
      </c>
      <c r="T452">
        <v>4131.45</v>
      </c>
      <c r="U452">
        <v>0</v>
      </c>
      <c r="V452">
        <v>634.65</v>
      </c>
      <c r="W452">
        <v>0</v>
      </c>
      <c r="X452">
        <v>31447.33</v>
      </c>
      <c r="Y452">
        <v>3159.55</v>
      </c>
      <c r="Z452">
        <v>0</v>
      </c>
      <c r="AA452">
        <v>0</v>
      </c>
      <c r="AB452">
        <v>1815200</v>
      </c>
      <c r="AC452" t="s">
        <v>251</v>
      </c>
    </row>
    <row r="453" spans="1:29" outlineLevel="1" x14ac:dyDescent="0.2">
      <c r="B453" s="386" t="s">
        <v>2564</v>
      </c>
      <c r="N453">
        <f>SUBTOTAL(9,N452:N452)</f>
        <v>46754.92</v>
      </c>
    </row>
    <row r="454" spans="1:29" outlineLevel="2" x14ac:dyDescent="0.2">
      <c r="A454">
        <v>506</v>
      </c>
      <c r="B454">
        <v>5688075</v>
      </c>
      <c r="C454">
        <v>56880750</v>
      </c>
      <c r="D454" t="s">
        <v>2291</v>
      </c>
      <c r="E454" t="s">
        <v>2233</v>
      </c>
      <c r="F454">
        <v>996000</v>
      </c>
      <c r="G454" t="s">
        <v>2384</v>
      </c>
      <c r="H454">
        <v>90534</v>
      </c>
      <c r="I454">
        <v>3</v>
      </c>
      <c r="J454">
        <v>74</v>
      </c>
      <c r="K454">
        <v>42</v>
      </c>
      <c r="L454">
        <v>0</v>
      </c>
      <c r="M454">
        <v>426.6</v>
      </c>
      <c r="N454">
        <v>37869.15</v>
      </c>
      <c r="O454">
        <v>0</v>
      </c>
      <c r="P454">
        <v>0</v>
      </c>
      <c r="Q454">
        <v>35227.300000000003</v>
      </c>
      <c r="R454">
        <v>0</v>
      </c>
      <c r="S454">
        <v>1004.9</v>
      </c>
      <c r="T454">
        <v>34222.400000000001</v>
      </c>
      <c r="U454">
        <v>0</v>
      </c>
      <c r="V454">
        <v>0</v>
      </c>
      <c r="W454">
        <v>0</v>
      </c>
      <c r="X454">
        <v>0</v>
      </c>
      <c r="Y454">
        <v>2641.85</v>
      </c>
      <c r="Z454">
        <v>0</v>
      </c>
      <c r="AA454">
        <v>0</v>
      </c>
      <c r="AB454">
        <v>1996000</v>
      </c>
      <c r="AC454" t="s">
        <v>251</v>
      </c>
    </row>
    <row r="455" spans="1:29" outlineLevel="1" x14ac:dyDescent="0.2">
      <c r="B455" s="386" t="s">
        <v>2563</v>
      </c>
      <c r="N455">
        <f>SUBTOTAL(9,N454:N454)</f>
        <v>37869.15</v>
      </c>
    </row>
    <row r="456" spans="1:29" outlineLevel="2" x14ac:dyDescent="0.2">
      <c r="A456">
        <v>506</v>
      </c>
      <c r="B456">
        <v>5688223</v>
      </c>
      <c r="C456">
        <v>56882236</v>
      </c>
      <c r="D456" t="s">
        <v>2138</v>
      </c>
      <c r="E456" t="s">
        <v>2374</v>
      </c>
      <c r="F456">
        <v>996000</v>
      </c>
      <c r="G456" t="s">
        <v>2384</v>
      </c>
      <c r="H456">
        <v>90534</v>
      </c>
      <c r="I456">
        <v>3</v>
      </c>
      <c r="J456">
        <v>5</v>
      </c>
      <c r="K456">
        <v>13</v>
      </c>
      <c r="L456">
        <v>0</v>
      </c>
      <c r="M456">
        <v>542.70000000000005</v>
      </c>
      <c r="N456">
        <v>63486.95</v>
      </c>
      <c r="O456">
        <v>0</v>
      </c>
      <c r="P456">
        <v>0</v>
      </c>
      <c r="Q456">
        <v>59057.55</v>
      </c>
      <c r="R456">
        <v>0</v>
      </c>
      <c r="S456">
        <v>1278.3499999999999</v>
      </c>
      <c r="T456">
        <v>57779.199999999997</v>
      </c>
      <c r="U456">
        <v>0</v>
      </c>
      <c r="V456">
        <v>0</v>
      </c>
      <c r="W456">
        <v>0</v>
      </c>
      <c r="X456">
        <v>0</v>
      </c>
      <c r="Y456">
        <v>4429.3999999999996</v>
      </c>
      <c r="Z456">
        <v>0</v>
      </c>
      <c r="AA456">
        <v>0</v>
      </c>
      <c r="AB456">
        <v>1996000</v>
      </c>
      <c r="AC456" t="s">
        <v>251</v>
      </c>
    </row>
    <row r="457" spans="1:29" outlineLevel="1" x14ac:dyDescent="0.2">
      <c r="B457" s="386" t="s">
        <v>2562</v>
      </c>
      <c r="N457">
        <f>SUBTOTAL(9,N456:N456)</f>
        <v>63486.95</v>
      </c>
    </row>
    <row r="458" spans="1:29" outlineLevel="2" x14ac:dyDescent="0.2">
      <c r="A458">
        <v>506</v>
      </c>
      <c r="B458">
        <v>5692004</v>
      </c>
      <c r="C458">
        <v>56920044</v>
      </c>
      <c r="D458" t="s">
        <v>1459</v>
      </c>
      <c r="E458" t="s">
        <v>1440</v>
      </c>
      <c r="F458">
        <v>812200</v>
      </c>
      <c r="G458" t="s">
        <v>2384</v>
      </c>
      <c r="H458">
        <v>90534</v>
      </c>
      <c r="I458">
        <v>0</v>
      </c>
      <c r="J458">
        <v>5</v>
      </c>
      <c r="K458">
        <v>37</v>
      </c>
      <c r="L458">
        <v>0</v>
      </c>
      <c r="M458">
        <v>747</v>
      </c>
      <c r="N458">
        <v>71843.100000000006</v>
      </c>
      <c r="O458">
        <v>12157.85</v>
      </c>
      <c r="P458">
        <v>1938.1</v>
      </c>
      <c r="Q458">
        <v>53691.05</v>
      </c>
      <c r="R458">
        <v>0</v>
      </c>
      <c r="S458">
        <v>4651.7</v>
      </c>
      <c r="T458">
        <v>0</v>
      </c>
      <c r="U458">
        <v>0</v>
      </c>
      <c r="V458">
        <v>1428.15</v>
      </c>
      <c r="W458">
        <v>0</v>
      </c>
      <c r="X458">
        <v>47611.199999999997</v>
      </c>
      <c r="Y458">
        <v>4056.1</v>
      </c>
      <c r="Z458">
        <v>0</v>
      </c>
      <c r="AA458">
        <v>0</v>
      </c>
      <c r="AB458">
        <v>1812200</v>
      </c>
      <c r="AC458" t="s">
        <v>251</v>
      </c>
    </row>
    <row r="459" spans="1:29" outlineLevel="1" x14ac:dyDescent="0.2">
      <c r="B459" s="386" t="s">
        <v>2561</v>
      </c>
      <c r="N459">
        <f>SUBTOTAL(9,N458:N458)</f>
        <v>71843.100000000006</v>
      </c>
    </row>
    <row r="460" spans="1:29" outlineLevel="2" x14ac:dyDescent="0.2">
      <c r="A460">
        <v>506</v>
      </c>
      <c r="B460">
        <v>5692116</v>
      </c>
      <c r="C460">
        <v>56921166</v>
      </c>
      <c r="D460" t="s">
        <v>2271</v>
      </c>
      <c r="E460" t="s">
        <v>2272</v>
      </c>
      <c r="F460">
        <v>714100</v>
      </c>
      <c r="G460" t="s">
        <v>2384</v>
      </c>
      <c r="H460">
        <v>90534</v>
      </c>
      <c r="I460">
        <v>0</v>
      </c>
      <c r="J460">
        <v>69</v>
      </c>
      <c r="K460">
        <v>9</v>
      </c>
      <c r="L460">
        <v>0</v>
      </c>
      <c r="M460">
        <v>180</v>
      </c>
      <c r="N460">
        <v>76403.960000000006</v>
      </c>
      <c r="O460">
        <v>5631</v>
      </c>
      <c r="P460">
        <v>2941.36</v>
      </c>
      <c r="Q460">
        <v>62706.25</v>
      </c>
      <c r="R460">
        <v>0</v>
      </c>
      <c r="S460">
        <v>1439.2</v>
      </c>
      <c r="T460">
        <v>0</v>
      </c>
      <c r="U460">
        <v>6083.55</v>
      </c>
      <c r="V460">
        <v>312.45</v>
      </c>
      <c r="W460">
        <v>0</v>
      </c>
      <c r="X460">
        <v>54871.05</v>
      </c>
      <c r="Y460">
        <v>5125.3500000000004</v>
      </c>
      <c r="Z460">
        <v>0</v>
      </c>
      <c r="AA460">
        <v>0</v>
      </c>
      <c r="AB460">
        <v>1714100</v>
      </c>
      <c r="AC460" t="s">
        <v>251</v>
      </c>
    </row>
    <row r="461" spans="1:29" outlineLevel="1" x14ac:dyDescent="0.2">
      <c r="B461" s="386" t="s">
        <v>2560</v>
      </c>
      <c r="N461">
        <f>SUBTOTAL(9,N460:N460)</f>
        <v>76403.960000000006</v>
      </c>
    </row>
    <row r="462" spans="1:29" outlineLevel="2" x14ac:dyDescent="0.2">
      <c r="A462">
        <v>506</v>
      </c>
      <c r="B462">
        <v>5692217</v>
      </c>
      <c r="C462">
        <v>56922172</v>
      </c>
      <c r="D462" t="s">
        <v>2375</v>
      </c>
      <c r="E462" t="s">
        <v>1110</v>
      </c>
      <c r="F462">
        <v>996000</v>
      </c>
      <c r="G462" t="s">
        <v>2384</v>
      </c>
      <c r="H462">
        <v>90534</v>
      </c>
      <c r="I462">
        <v>3</v>
      </c>
      <c r="J462">
        <v>5</v>
      </c>
      <c r="K462">
        <v>9</v>
      </c>
      <c r="L462">
        <v>0</v>
      </c>
      <c r="M462">
        <v>567</v>
      </c>
      <c r="N462">
        <v>44048.45</v>
      </c>
      <c r="O462">
        <v>0</v>
      </c>
      <c r="P462">
        <v>0</v>
      </c>
      <c r="Q462">
        <v>40975.35</v>
      </c>
      <c r="R462">
        <v>0</v>
      </c>
      <c r="S462">
        <v>1335.6</v>
      </c>
      <c r="T462">
        <v>39639.75</v>
      </c>
      <c r="U462">
        <v>0</v>
      </c>
      <c r="V462">
        <v>0</v>
      </c>
      <c r="W462">
        <v>0</v>
      </c>
      <c r="X462">
        <v>0</v>
      </c>
      <c r="Y462">
        <v>3073.1</v>
      </c>
      <c r="Z462">
        <v>0</v>
      </c>
      <c r="AA462">
        <v>0</v>
      </c>
      <c r="AB462">
        <v>1996000</v>
      </c>
      <c r="AC462" t="s">
        <v>251</v>
      </c>
    </row>
    <row r="463" spans="1:29" outlineLevel="1" x14ac:dyDescent="0.2">
      <c r="B463" s="386" t="s">
        <v>2559</v>
      </c>
      <c r="N463">
        <f>SUBTOTAL(9,N462:N462)</f>
        <v>44048.45</v>
      </c>
    </row>
    <row r="464" spans="1:29" outlineLevel="2" x14ac:dyDescent="0.2">
      <c r="A464">
        <v>506</v>
      </c>
      <c r="B464">
        <v>5698570</v>
      </c>
      <c r="C464">
        <v>56985708</v>
      </c>
      <c r="D464" t="s">
        <v>2399</v>
      </c>
      <c r="E464" t="s">
        <v>2156</v>
      </c>
      <c r="F464">
        <v>813202</v>
      </c>
      <c r="G464" t="s">
        <v>2384</v>
      </c>
      <c r="H464">
        <v>90534</v>
      </c>
      <c r="I464">
        <v>0</v>
      </c>
      <c r="J464">
        <v>5</v>
      </c>
      <c r="K464">
        <v>4</v>
      </c>
      <c r="L464">
        <v>0</v>
      </c>
      <c r="M464">
        <v>50</v>
      </c>
      <c r="N464">
        <v>4280</v>
      </c>
      <c r="O464">
        <v>663.8</v>
      </c>
      <c r="P464">
        <v>112.45</v>
      </c>
      <c r="Q464">
        <v>3259.3</v>
      </c>
      <c r="R464">
        <v>0</v>
      </c>
      <c r="S464">
        <v>0</v>
      </c>
      <c r="T464">
        <v>0</v>
      </c>
      <c r="U464">
        <v>0</v>
      </c>
      <c r="V464">
        <v>95.7</v>
      </c>
      <c r="W464">
        <v>0</v>
      </c>
      <c r="X464">
        <v>3163.6</v>
      </c>
      <c r="Y464">
        <v>244.45</v>
      </c>
      <c r="Z464">
        <v>0</v>
      </c>
      <c r="AA464">
        <v>0</v>
      </c>
      <c r="AB464">
        <v>1813202</v>
      </c>
      <c r="AC464" t="s">
        <v>251</v>
      </c>
    </row>
    <row r="465" spans="1:29" outlineLevel="1" x14ac:dyDescent="0.2">
      <c r="B465" s="386" t="s">
        <v>2558</v>
      </c>
      <c r="N465">
        <f>SUBTOTAL(9,N464:N464)</f>
        <v>4280</v>
      </c>
    </row>
    <row r="466" spans="1:29" outlineLevel="2" x14ac:dyDescent="0.2">
      <c r="A466">
        <v>506</v>
      </c>
      <c r="B466">
        <v>5698805</v>
      </c>
      <c r="C466">
        <v>56988058</v>
      </c>
      <c r="D466" t="s">
        <v>2149</v>
      </c>
      <c r="E466" t="s">
        <v>2150</v>
      </c>
      <c r="F466">
        <v>812200</v>
      </c>
      <c r="G466" t="s">
        <v>2384</v>
      </c>
      <c r="H466">
        <v>90534</v>
      </c>
      <c r="I466">
        <v>0</v>
      </c>
      <c r="J466">
        <v>5</v>
      </c>
      <c r="K466">
        <v>37</v>
      </c>
      <c r="L466">
        <v>0</v>
      </c>
      <c r="M466">
        <v>664</v>
      </c>
      <c r="N466">
        <v>69303.67</v>
      </c>
      <c r="O466">
        <v>5598.9</v>
      </c>
      <c r="P466">
        <v>2396.84</v>
      </c>
      <c r="Q466">
        <v>57030.58</v>
      </c>
      <c r="R466">
        <v>0</v>
      </c>
      <c r="S466">
        <v>5476.35</v>
      </c>
      <c r="T466">
        <v>0</v>
      </c>
      <c r="U466">
        <v>0</v>
      </c>
      <c r="V466">
        <v>322.8</v>
      </c>
      <c r="W466">
        <v>0</v>
      </c>
      <c r="X466">
        <v>51231.43</v>
      </c>
      <c r="Y466">
        <v>4277.3500000000004</v>
      </c>
      <c r="Z466">
        <v>0</v>
      </c>
      <c r="AA466">
        <v>0</v>
      </c>
      <c r="AB466">
        <v>1812200</v>
      </c>
      <c r="AC466" t="s">
        <v>251</v>
      </c>
    </row>
    <row r="467" spans="1:29" outlineLevel="2" x14ac:dyDescent="0.2">
      <c r="A467">
        <v>506</v>
      </c>
      <c r="B467">
        <v>5698805</v>
      </c>
      <c r="C467">
        <v>56988058</v>
      </c>
      <c r="D467" t="s">
        <v>2149</v>
      </c>
      <c r="E467" t="s">
        <v>2150</v>
      </c>
      <c r="F467">
        <v>812300</v>
      </c>
      <c r="G467" t="s">
        <v>2384</v>
      </c>
      <c r="H467">
        <v>90534</v>
      </c>
      <c r="I467">
        <v>0</v>
      </c>
      <c r="J467">
        <v>5</v>
      </c>
      <c r="K467">
        <v>37</v>
      </c>
      <c r="L467">
        <v>0</v>
      </c>
      <c r="M467">
        <v>83</v>
      </c>
      <c r="N467">
        <v>7733.03</v>
      </c>
      <c r="O467">
        <v>635.6</v>
      </c>
      <c r="P467">
        <v>243.15</v>
      </c>
      <c r="Q467">
        <v>6376.08</v>
      </c>
      <c r="R467">
        <v>0</v>
      </c>
      <c r="S467">
        <v>0</v>
      </c>
      <c r="T467">
        <v>0</v>
      </c>
      <c r="U467">
        <v>0</v>
      </c>
      <c r="V467">
        <v>40.35</v>
      </c>
      <c r="W467">
        <v>0</v>
      </c>
      <c r="X467">
        <v>6335.73</v>
      </c>
      <c r="Y467">
        <v>478.2</v>
      </c>
      <c r="Z467">
        <v>0</v>
      </c>
      <c r="AA467">
        <v>0</v>
      </c>
      <c r="AB467">
        <v>1812300</v>
      </c>
      <c r="AC467" t="s">
        <v>251</v>
      </c>
    </row>
    <row r="468" spans="1:29" outlineLevel="1" x14ac:dyDescent="0.2">
      <c r="B468" s="386" t="s">
        <v>2557</v>
      </c>
      <c r="N468">
        <f>SUBTOTAL(9,N466:N467)</f>
        <v>77036.7</v>
      </c>
    </row>
    <row r="469" spans="1:29" outlineLevel="2" x14ac:dyDescent="0.2">
      <c r="A469">
        <v>506</v>
      </c>
      <c r="B469">
        <v>5702429</v>
      </c>
      <c r="C469">
        <v>57024291</v>
      </c>
      <c r="D469" t="s">
        <v>2236</v>
      </c>
      <c r="E469" t="s">
        <v>2237</v>
      </c>
      <c r="F469">
        <v>817300</v>
      </c>
      <c r="G469" t="s">
        <v>2384</v>
      </c>
      <c r="H469">
        <v>90534</v>
      </c>
      <c r="I469">
        <v>0</v>
      </c>
      <c r="J469">
        <v>81</v>
      </c>
      <c r="K469">
        <v>72</v>
      </c>
      <c r="L469">
        <v>0</v>
      </c>
      <c r="M469">
        <v>675</v>
      </c>
      <c r="N469">
        <v>143729.99</v>
      </c>
      <c r="O469">
        <v>10795.05</v>
      </c>
      <c r="P469">
        <v>6692.1</v>
      </c>
      <c r="Q469">
        <v>117435.19</v>
      </c>
      <c r="R469">
        <v>0</v>
      </c>
      <c r="S469">
        <v>5715</v>
      </c>
      <c r="T469">
        <v>0</v>
      </c>
      <c r="U469">
        <v>11204.1</v>
      </c>
      <c r="V469">
        <v>2099.85</v>
      </c>
      <c r="W469">
        <v>0</v>
      </c>
      <c r="X469">
        <v>98416.24</v>
      </c>
      <c r="Y469">
        <v>8807.65</v>
      </c>
      <c r="Z469">
        <v>0</v>
      </c>
      <c r="AA469">
        <v>0</v>
      </c>
      <c r="AB469">
        <v>1817300</v>
      </c>
      <c r="AC469" t="s">
        <v>251</v>
      </c>
    </row>
    <row r="470" spans="1:29" outlineLevel="1" x14ac:dyDescent="0.2">
      <c r="B470" s="386" t="s">
        <v>2556</v>
      </c>
      <c r="N470">
        <f>SUBTOTAL(9,N469:N469)</f>
        <v>143729.99</v>
      </c>
    </row>
    <row r="471" spans="1:29" outlineLevel="2" x14ac:dyDescent="0.2">
      <c r="A471">
        <v>506</v>
      </c>
      <c r="B471">
        <v>5703154</v>
      </c>
      <c r="C471">
        <v>57031544</v>
      </c>
      <c r="D471" t="s">
        <v>1459</v>
      </c>
      <c r="E471" t="s">
        <v>2195</v>
      </c>
      <c r="F471">
        <v>817600</v>
      </c>
      <c r="G471" t="s">
        <v>2384</v>
      </c>
      <c r="H471">
        <v>90534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41009.800000000003</v>
      </c>
      <c r="O471">
        <v>4204.45</v>
      </c>
      <c r="P471">
        <v>1144.5</v>
      </c>
      <c r="Q471">
        <v>33172.9</v>
      </c>
      <c r="R471">
        <v>0</v>
      </c>
      <c r="S471">
        <v>2769.5</v>
      </c>
      <c r="T471">
        <v>0</v>
      </c>
      <c r="U471">
        <v>0</v>
      </c>
      <c r="V471">
        <v>1549.05</v>
      </c>
      <c r="W471">
        <v>0</v>
      </c>
      <c r="X471">
        <v>28854.35</v>
      </c>
      <c r="Y471">
        <v>2487.9499999999998</v>
      </c>
      <c r="Z471">
        <v>0</v>
      </c>
      <c r="AA471">
        <v>0</v>
      </c>
      <c r="AB471">
        <v>1817600</v>
      </c>
      <c r="AC471" t="s">
        <v>251</v>
      </c>
    </row>
    <row r="472" spans="1:29" outlineLevel="1" x14ac:dyDescent="0.2">
      <c r="B472" s="386" t="s">
        <v>2555</v>
      </c>
      <c r="N472">
        <f>SUBTOTAL(9,N471:N471)</f>
        <v>41009.800000000003</v>
      </c>
    </row>
    <row r="473" spans="1:29" outlineLevel="2" x14ac:dyDescent="0.2">
      <c r="A473">
        <v>506</v>
      </c>
      <c r="B473">
        <v>5703171</v>
      </c>
      <c r="C473">
        <v>57031718</v>
      </c>
      <c r="D473" t="s">
        <v>2123</v>
      </c>
      <c r="E473" t="s">
        <v>2162</v>
      </c>
      <c r="F473">
        <v>813200</v>
      </c>
      <c r="G473" t="s">
        <v>2384</v>
      </c>
      <c r="H473">
        <v>90534</v>
      </c>
      <c r="I473">
        <v>0</v>
      </c>
      <c r="J473">
        <v>5</v>
      </c>
      <c r="K473">
        <v>5</v>
      </c>
      <c r="L473">
        <v>0</v>
      </c>
      <c r="M473">
        <v>900</v>
      </c>
      <c r="N473">
        <v>77224.990000000005</v>
      </c>
      <c r="O473">
        <v>11716.35</v>
      </c>
      <c r="P473">
        <v>2236.41</v>
      </c>
      <c r="Q473">
        <v>58857.88</v>
      </c>
      <c r="R473">
        <v>0</v>
      </c>
      <c r="S473">
        <v>5326</v>
      </c>
      <c r="T473">
        <v>0</v>
      </c>
      <c r="U473">
        <v>0</v>
      </c>
      <c r="V473">
        <v>2176.0500000000002</v>
      </c>
      <c r="W473">
        <v>1138.9000000000001</v>
      </c>
      <c r="X473">
        <v>50216.93</v>
      </c>
      <c r="Y473">
        <v>4414.3500000000004</v>
      </c>
      <c r="Z473">
        <v>0</v>
      </c>
      <c r="AA473">
        <v>0</v>
      </c>
      <c r="AB473">
        <v>1813200</v>
      </c>
      <c r="AC473" t="s">
        <v>251</v>
      </c>
    </row>
    <row r="474" spans="1:29" outlineLevel="1" x14ac:dyDescent="0.2">
      <c r="B474" s="386" t="s">
        <v>2554</v>
      </c>
      <c r="N474">
        <f>SUBTOTAL(9,N473:N473)</f>
        <v>77224.990000000005</v>
      </c>
    </row>
    <row r="475" spans="1:29" outlineLevel="2" x14ac:dyDescent="0.2">
      <c r="A475">
        <v>506</v>
      </c>
      <c r="B475">
        <v>5703234</v>
      </c>
      <c r="C475">
        <v>57032344</v>
      </c>
      <c r="D475" t="s">
        <v>2321</v>
      </c>
      <c r="E475" t="s">
        <v>2178</v>
      </c>
      <c r="F475">
        <v>845200</v>
      </c>
      <c r="G475" t="s">
        <v>2384</v>
      </c>
      <c r="H475">
        <v>90534</v>
      </c>
      <c r="I475">
        <v>0</v>
      </c>
      <c r="J475">
        <v>5</v>
      </c>
      <c r="K475">
        <v>6</v>
      </c>
      <c r="L475">
        <v>0</v>
      </c>
      <c r="M475">
        <v>300</v>
      </c>
      <c r="N475">
        <v>42078.73</v>
      </c>
      <c r="O475">
        <v>4680.6499999999996</v>
      </c>
      <c r="P475">
        <v>860.37</v>
      </c>
      <c r="Q475">
        <v>28120.26</v>
      </c>
      <c r="R475">
        <v>0</v>
      </c>
      <c r="S475">
        <v>3195.6</v>
      </c>
      <c r="T475">
        <v>0</v>
      </c>
      <c r="U475">
        <v>0</v>
      </c>
      <c r="V475">
        <v>1179.25</v>
      </c>
      <c r="W475">
        <v>0</v>
      </c>
      <c r="X475">
        <v>23745.41</v>
      </c>
      <c r="Y475">
        <v>2549.15</v>
      </c>
      <c r="Z475">
        <v>0</v>
      </c>
      <c r="AA475">
        <v>0</v>
      </c>
      <c r="AB475">
        <v>1845200</v>
      </c>
      <c r="AC475" t="s">
        <v>251</v>
      </c>
    </row>
    <row r="476" spans="1:29" outlineLevel="1" x14ac:dyDescent="0.2">
      <c r="B476" s="386" t="s">
        <v>2553</v>
      </c>
      <c r="N476">
        <f>SUBTOTAL(9,N475:N475)</f>
        <v>42078.73</v>
      </c>
    </row>
    <row r="477" spans="1:29" outlineLevel="2" x14ac:dyDescent="0.2">
      <c r="A477">
        <v>506</v>
      </c>
      <c r="B477">
        <v>5755856</v>
      </c>
      <c r="C477">
        <v>57558561</v>
      </c>
      <c r="D477" t="s">
        <v>2155</v>
      </c>
      <c r="E477" t="s">
        <v>2308</v>
      </c>
      <c r="F477">
        <v>841000</v>
      </c>
      <c r="G477" t="s">
        <v>2384</v>
      </c>
      <c r="H477">
        <v>90534</v>
      </c>
      <c r="I477">
        <v>0</v>
      </c>
      <c r="J477">
        <v>86</v>
      </c>
      <c r="K477">
        <v>2</v>
      </c>
      <c r="L477">
        <v>3</v>
      </c>
      <c r="M477">
        <v>850</v>
      </c>
      <c r="N477">
        <v>92647.18</v>
      </c>
      <c r="O477">
        <v>14679.4</v>
      </c>
      <c r="P477">
        <v>3211.53</v>
      </c>
      <c r="Q477">
        <v>69443.05</v>
      </c>
      <c r="R477">
        <v>120</v>
      </c>
      <c r="S477">
        <v>2451</v>
      </c>
      <c r="T477">
        <v>2945.7</v>
      </c>
      <c r="U477">
        <v>6545</v>
      </c>
      <c r="V477">
        <v>1547.7</v>
      </c>
      <c r="W477">
        <v>0</v>
      </c>
      <c r="X477">
        <v>55833.65</v>
      </c>
      <c r="Y477">
        <v>5313.2</v>
      </c>
      <c r="Z477">
        <v>0</v>
      </c>
      <c r="AA477">
        <v>0</v>
      </c>
      <c r="AB477">
        <v>1841000</v>
      </c>
      <c r="AC477" t="s">
        <v>251</v>
      </c>
    </row>
    <row r="478" spans="1:29" outlineLevel="1" x14ac:dyDescent="0.2">
      <c r="B478" s="386" t="s">
        <v>2552</v>
      </c>
      <c r="N478">
        <f>SUBTOTAL(9,N477:N477)</f>
        <v>92647.18</v>
      </c>
    </row>
    <row r="479" spans="1:29" outlineLevel="2" x14ac:dyDescent="0.2">
      <c r="A479">
        <v>506</v>
      </c>
      <c r="B479">
        <v>5760050</v>
      </c>
      <c r="C479">
        <v>57600504</v>
      </c>
      <c r="D479" t="s">
        <v>2375</v>
      </c>
      <c r="E479" t="s">
        <v>2376</v>
      </c>
      <c r="F479">
        <v>996000</v>
      </c>
      <c r="G479" t="s">
        <v>2384</v>
      </c>
      <c r="H479">
        <v>90534</v>
      </c>
      <c r="I479">
        <v>3</v>
      </c>
      <c r="J479">
        <v>5</v>
      </c>
      <c r="K479">
        <v>36</v>
      </c>
      <c r="L479">
        <v>0</v>
      </c>
      <c r="M479">
        <v>232.2</v>
      </c>
      <c r="N479">
        <v>15667.75</v>
      </c>
      <c r="O479">
        <v>0</v>
      </c>
      <c r="P479">
        <v>0</v>
      </c>
      <c r="Q479">
        <v>14574.8</v>
      </c>
      <c r="R479">
        <v>0</v>
      </c>
      <c r="S479">
        <v>392.4</v>
      </c>
      <c r="T479">
        <v>14182.4</v>
      </c>
      <c r="U479">
        <v>0</v>
      </c>
      <c r="V479">
        <v>0</v>
      </c>
      <c r="W479">
        <v>0</v>
      </c>
      <c r="X479">
        <v>0</v>
      </c>
      <c r="Y479">
        <v>1092.95</v>
      </c>
      <c r="Z479">
        <v>0</v>
      </c>
      <c r="AA479">
        <v>0</v>
      </c>
      <c r="AB479">
        <v>1996000</v>
      </c>
      <c r="AC479" t="s">
        <v>251</v>
      </c>
    </row>
    <row r="480" spans="1:29" outlineLevel="1" x14ac:dyDescent="0.2">
      <c r="B480" s="386" t="s">
        <v>2551</v>
      </c>
      <c r="N480">
        <f>SUBTOTAL(9,N479:N479)</f>
        <v>15667.75</v>
      </c>
    </row>
    <row r="481" spans="1:29" outlineLevel="2" x14ac:dyDescent="0.2">
      <c r="A481">
        <v>506</v>
      </c>
      <c r="B481">
        <v>5760108</v>
      </c>
      <c r="C481">
        <v>57601080</v>
      </c>
      <c r="D481" t="s">
        <v>2185</v>
      </c>
      <c r="E481" t="s">
        <v>2186</v>
      </c>
      <c r="F481">
        <v>813202</v>
      </c>
      <c r="G481" t="s">
        <v>2384</v>
      </c>
      <c r="H481">
        <v>90534</v>
      </c>
      <c r="I481">
        <v>0</v>
      </c>
      <c r="J481">
        <v>5</v>
      </c>
      <c r="K481">
        <v>5</v>
      </c>
      <c r="L481">
        <v>0</v>
      </c>
      <c r="M481">
        <v>450</v>
      </c>
      <c r="N481">
        <v>46145.11</v>
      </c>
      <c r="O481">
        <v>7033.15</v>
      </c>
      <c r="P481">
        <v>1216.18</v>
      </c>
      <c r="Q481">
        <v>35251.879999999997</v>
      </c>
      <c r="R481">
        <v>0</v>
      </c>
      <c r="S481">
        <v>3195.6</v>
      </c>
      <c r="T481">
        <v>0</v>
      </c>
      <c r="U481">
        <v>0</v>
      </c>
      <c r="V481">
        <v>1524.45</v>
      </c>
      <c r="W481">
        <v>0</v>
      </c>
      <c r="X481">
        <v>30531.83</v>
      </c>
      <c r="Y481">
        <v>2643.9</v>
      </c>
      <c r="Z481">
        <v>0</v>
      </c>
      <c r="AA481">
        <v>0</v>
      </c>
      <c r="AB481">
        <v>1813202</v>
      </c>
      <c r="AC481" t="s">
        <v>251</v>
      </c>
    </row>
    <row r="482" spans="1:29" outlineLevel="1" x14ac:dyDescent="0.2">
      <c r="B482" s="386" t="s">
        <v>2550</v>
      </c>
      <c r="N482">
        <f>SUBTOTAL(9,N481:N481)</f>
        <v>46145.11</v>
      </c>
    </row>
    <row r="483" spans="1:29" outlineLevel="2" x14ac:dyDescent="0.2">
      <c r="A483">
        <v>506</v>
      </c>
      <c r="B483">
        <v>5760408</v>
      </c>
      <c r="C483">
        <v>57604084</v>
      </c>
      <c r="D483" t="s">
        <v>2322</v>
      </c>
      <c r="E483" t="s">
        <v>1691</v>
      </c>
      <c r="F483">
        <v>845200</v>
      </c>
      <c r="G483" t="s">
        <v>2384</v>
      </c>
      <c r="H483">
        <v>90534</v>
      </c>
      <c r="I483">
        <v>0</v>
      </c>
      <c r="J483">
        <v>3</v>
      </c>
      <c r="K483">
        <v>2</v>
      </c>
      <c r="L483">
        <v>0</v>
      </c>
      <c r="M483">
        <v>900</v>
      </c>
      <c r="N483">
        <v>160338.71</v>
      </c>
      <c r="O483">
        <v>11886.05</v>
      </c>
      <c r="P483">
        <v>7726</v>
      </c>
      <c r="Q483">
        <v>130885.16</v>
      </c>
      <c r="R483">
        <v>0</v>
      </c>
      <c r="S483">
        <v>7620</v>
      </c>
      <c r="T483">
        <v>25740.45</v>
      </c>
      <c r="U483">
        <v>0</v>
      </c>
      <c r="V483">
        <v>2138.9499999999998</v>
      </c>
      <c r="W483">
        <v>1384.7</v>
      </c>
      <c r="X483">
        <v>94001.06</v>
      </c>
      <c r="Y483">
        <v>9841.5</v>
      </c>
      <c r="Z483">
        <v>0</v>
      </c>
      <c r="AA483">
        <v>0</v>
      </c>
      <c r="AB483">
        <v>1845200</v>
      </c>
      <c r="AC483" t="s">
        <v>251</v>
      </c>
    </row>
    <row r="484" spans="1:29" outlineLevel="1" x14ac:dyDescent="0.2">
      <c r="B484" s="386" t="s">
        <v>2549</v>
      </c>
      <c r="N484">
        <f>SUBTOTAL(9,N483:N483)</f>
        <v>160338.71</v>
      </c>
    </row>
    <row r="485" spans="1:29" outlineLevel="2" x14ac:dyDescent="0.2">
      <c r="A485">
        <v>506</v>
      </c>
      <c r="B485">
        <v>5763010</v>
      </c>
      <c r="C485">
        <v>57630105</v>
      </c>
      <c r="D485" t="s">
        <v>2173</v>
      </c>
      <c r="E485" t="s">
        <v>2299</v>
      </c>
      <c r="F485">
        <v>825000</v>
      </c>
      <c r="G485" t="s">
        <v>2384</v>
      </c>
      <c r="H485">
        <v>90534</v>
      </c>
      <c r="I485">
        <v>0</v>
      </c>
      <c r="J485">
        <v>5</v>
      </c>
      <c r="K485">
        <v>5</v>
      </c>
      <c r="L485">
        <v>0</v>
      </c>
      <c r="M485">
        <v>450</v>
      </c>
      <c r="N485">
        <v>44769.79</v>
      </c>
      <c r="O485">
        <v>6782.8</v>
      </c>
      <c r="P485">
        <v>1181.21</v>
      </c>
      <c r="Q485">
        <v>34237.93</v>
      </c>
      <c r="R485">
        <v>0</v>
      </c>
      <c r="S485">
        <v>3195.6</v>
      </c>
      <c r="T485">
        <v>0</v>
      </c>
      <c r="U485">
        <v>0</v>
      </c>
      <c r="V485">
        <v>1756.8</v>
      </c>
      <c r="W485">
        <v>0</v>
      </c>
      <c r="X485">
        <v>29285.53</v>
      </c>
      <c r="Y485">
        <v>2567.85</v>
      </c>
      <c r="Z485">
        <v>0</v>
      </c>
      <c r="AA485">
        <v>0</v>
      </c>
      <c r="AB485">
        <v>1825000</v>
      </c>
      <c r="AC485" t="s">
        <v>251</v>
      </c>
    </row>
    <row r="486" spans="1:29" outlineLevel="1" x14ac:dyDescent="0.2">
      <c r="B486" s="386" t="s">
        <v>2548</v>
      </c>
      <c r="N486">
        <f>SUBTOTAL(9,N485:N485)</f>
        <v>44769.79</v>
      </c>
    </row>
    <row r="487" spans="1:29" outlineLevel="2" x14ac:dyDescent="0.2">
      <c r="A487">
        <v>506</v>
      </c>
      <c r="B487">
        <v>5763016</v>
      </c>
      <c r="C487">
        <v>57630162</v>
      </c>
      <c r="D487" t="s">
        <v>2260</v>
      </c>
      <c r="E487" t="s">
        <v>2323</v>
      </c>
      <c r="F487">
        <v>845200</v>
      </c>
      <c r="G487" t="s">
        <v>2384</v>
      </c>
      <c r="H487">
        <v>90534</v>
      </c>
      <c r="I487">
        <v>0</v>
      </c>
      <c r="J487">
        <v>80</v>
      </c>
      <c r="K487">
        <v>1</v>
      </c>
      <c r="L487">
        <v>0</v>
      </c>
      <c r="M487">
        <v>300</v>
      </c>
      <c r="N487">
        <v>84010.2</v>
      </c>
      <c r="O487">
        <v>3958.1</v>
      </c>
      <c r="P487">
        <v>2114.04</v>
      </c>
      <c r="Q487">
        <v>56777.06</v>
      </c>
      <c r="R487">
        <v>0</v>
      </c>
      <c r="S487">
        <v>4213.2</v>
      </c>
      <c r="T487">
        <v>0</v>
      </c>
      <c r="U487">
        <v>0</v>
      </c>
      <c r="V487">
        <v>845.2</v>
      </c>
      <c r="W487">
        <v>0</v>
      </c>
      <c r="X487">
        <v>51718.66</v>
      </c>
      <c r="Y487">
        <v>5437.6</v>
      </c>
      <c r="Z487">
        <v>0</v>
      </c>
      <c r="AA487">
        <v>0</v>
      </c>
      <c r="AB487">
        <v>1845200</v>
      </c>
      <c r="AC487" t="s">
        <v>251</v>
      </c>
    </row>
    <row r="488" spans="1:29" outlineLevel="1" x14ac:dyDescent="0.2">
      <c r="B488" s="386" t="s">
        <v>2547</v>
      </c>
      <c r="N488">
        <f>SUBTOTAL(9,N487:N487)</f>
        <v>84010.2</v>
      </c>
    </row>
    <row r="489" spans="1:29" outlineLevel="2" x14ac:dyDescent="0.2">
      <c r="A489">
        <v>506</v>
      </c>
      <c r="B489">
        <v>5763017</v>
      </c>
      <c r="C489">
        <v>57630170</v>
      </c>
      <c r="D489" t="s">
        <v>2106</v>
      </c>
      <c r="E489" t="s">
        <v>2269</v>
      </c>
      <c r="F489">
        <v>712200</v>
      </c>
      <c r="G489" t="s">
        <v>2384</v>
      </c>
      <c r="H489">
        <v>90534</v>
      </c>
      <c r="I489">
        <v>0</v>
      </c>
      <c r="J489">
        <v>5</v>
      </c>
      <c r="K489">
        <v>37</v>
      </c>
      <c r="L489">
        <v>0</v>
      </c>
      <c r="M489">
        <v>900</v>
      </c>
      <c r="N489">
        <v>73873.820000000007</v>
      </c>
      <c r="O489">
        <v>5903.5</v>
      </c>
      <c r="P489">
        <v>2455.29</v>
      </c>
      <c r="Q489">
        <v>60944.23</v>
      </c>
      <c r="R489">
        <v>0</v>
      </c>
      <c r="S489">
        <v>5750</v>
      </c>
      <c r="T489">
        <v>0</v>
      </c>
      <c r="U489">
        <v>0</v>
      </c>
      <c r="V489">
        <v>2267.25</v>
      </c>
      <c r="W489">
        <v>640.20000000000005</v>
      </c>
      <c r="X489">
        <v>52286.78</v>
      </c>
      <c r="Y489">
        <v>4570.8</v>
      </c>
      <c r="Z489">
        <v>0</v>
      </c>
      <c r="AA489">
        <v>0</v>
      </c>
      <c r="AB489">
        <v>1712200</v>
      </c>
      <c r="AC489" t="s">
        <v>251</v>
      </c>
    </row>
    <row r="490" spans="1:29" outlineLevel="1" x14ac:dyDescent="0.2">
      <c r="B490" s="386" t="s">
        <v>2546</v>
      </c>
      <c r="N490">
        <f>SUBTOTAL(9,N489:N489)</f>
        <v>73873.820000000007</v>
      </c>
    </row>
    <row r="491" spans="1:29" outlineLevel="2" x14ac:dyDescent="0.2">
      <c r="A491">
        <v>506</v>
      </c>
      <c r="B491">
        <v>5763019</v>
      </c>
      <c r="C491">
        <v>57630196</v>
      </c>
      <c r="D491" t="s">
        <v>2328</v>
      </c>
      <c r="E491" t="s">
        <v>2403</v>
      </c>
      <c r="F491">
        <v>814000</v>
      </c>
      <c r="G491" t="s">
        <v>2384</v>
      </c>
      <c r="H491">
        <v>90534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3121.93</v>
      </c>
      <c r="O491">
        <v>0</v>
      </c>
      <c r="P491">
        <v>97.08</v>
      </c>
      <c r="Q491">
        <v>2813.8</v>
      </c>
      <c r="R491">
        <v>0</v>
      </c>
      <c r="S491">
        <v>0</v>
      </c>
      <c r="T491">
        <v>0</v>
      </c>
      <c r="U491">
        <v>0</v>
      </c>
      <c r="V491">
        <v>1415.5</v>
      </c>
      <c r="W491">
        <v>0</v>
      </c>
      <c r="X491">
        <v>1398.3</v>
      </c>
      <c r="Y491">
        <v>211.05</v>
      </c>
      <c r="Z491">
        <v>0</v>
      </c>
      <c r="AA491">
        <v>0</v>
      </c>
      <c r="AB491">
        <v>1814000</v>
      </c>
      <c r="AC491" t="s">
        <v>251</v>
      </c>
    </row>
    <row r="492" spans="1:29" outlineLevel="1" x14ac:dyDescent="0.2">
      <c r="B492" s="386" t="s">
        <v>2545</v>
      </c>
      <c r="N492">
        <f>SUBTOTAL(9,N491:N491)</f>
        <v>3121.93</v>
      </c>
    </row>
    <row r="493" spans="1:29" outlineLevel="2" x14ac:dyDescent="0.2">
      <c r="A493">
        <v>506</v>
      </c>
      <c r="B493">
        <v>5763021</v>
      </c>
      <c r="C493">
        <v>57630212</v>
      </c>
      <c r="D493" t="s">
        <v>2164</v>
      </c>
      <c r="E493" t="s">
        <v>2232</v>
      </c>
      <c r="F493">
        <v>817100</v>
      </c>
      <c r="G493" t="s">
        <v>2384</v>
      </c>
      <c r="H493">
        <v>90534</v>
      </c>
      <c r="I493">
        <v>0</v>
      </c>
      <c r="J493">
        <v>72</v>
      </c>
      <c r="K493">
        <v>38</v>
      </c>
      <c r="L493">
        <v>0</v>
      </c>
      <c r="M493">
        <v>450</v>
      </c>
      <c r="N493">
        <v>54471.45</v>
      </c>
      <c r="O493">
        <v>4712.25</v>
      </c>
      <c r="P493">
        <v>1704.76</v>
      </c>
      <c r="Q493">
        <v>44404.49</v>
      </c>
      <c r="R493">
        <v>1042.45</v>
      </c>
      <c r="S493">
        <v>0</v>
      </c>
      <c r="T493">
        <v>0</v>
      </c>
      <c r="U493">
        <v>8904.0499999999993</v>
      </c>
      <c r="V493">
        <v>2724.05</v>
      </c>
      <c r="W493">
        <v>1483.2</v>
      </c>
      <c r="X493">
        <v>30250.74</v>
      </c>
      <c r="Y493">
        <v>3649.95</v>
      </c>
      <c r="Z493">
        <v>0</v>
      </c>
      <c r="AA493">
        <v>0</v>
      </c>
      <c r="AB493">
        <v>1817100</v>
      </c>
      <c r="AC493" t="s">
        <v>251</v>
      </c>
    </row>
    <row r="494" spans="1:29" outlineLevel="1" x14ac:dyDescent="0.2">
      <c r="B494" s="386" t="s">
        <v>2544</v>
      </c>
      <c r="N494">
        <f>SUBTOTAL(9,N493:N493)</f>
        <v>54471.45</v>
      </c>
    </row>
    <row r="495" spans="1:29" outlineLevel="2" x14ac:dyDescent="0.2">
      <c r="A495">
        <v>506</v>
      </c>
      <c r="B495">
        <v>5817510</v>
      </c>
      <c r="C495">
        <v>58175100</v>
      </c>
      <c r="D495" t="s">
        <v>2143</v>
      </c>
      <c r="E495" t="s">
        <v>2317</v>
      </c>
      <c r="F495">
        <v>841001</v>
      </c>
      <c r="G495" t="s">
        <v>2384</v>
      </c>
      <c r="H495">
        <v>90534</v>
      </c>
      <c r="I495">
        <v>0</v>
      </c>
      <c r="J495">
        <v>72</v>
      </c>
      <c r="K495">
        <v>69</v>
      </c>
      <c r="L495">
        <v>0</v>
      </c>
      <c r="M495">
        <v>900</v>
      </c>
      <c r="N495">
        <v>108732.91</v>
      </c>
      <c r="O495">
        <v>8441.2000000000007</v>
      </c>
      <c r="P495">
        <v>4548.75</v>
      </c>
      <c r="Q495">
        <v>89078.71</v>
      </c>
      <c r="R495">
        <v>221.6</v>
      </c>
      <c r="S495">
        <v>7620</v>
      </c>
      <c r="T495">
        <v>1688.4</v>
      </c>
      <c r="U495">
        <v>3150</v>
      </c>
      <c r="V495">
        <v>2121.6</v>
      </c>
      <c r="W495">
        <v>0</v>
      </c>
      <c r="X495">
        <v>74277.11</v>
      </c>
      <c r="Y495">
        <v>6664.25</v>
      </c>
      <c r="Z495">
        <v>0</v>
      </c>
      <c r="AA495">
        <v>0</v>
      </c>
      <c r="AB495">
        <v>1841001</v>
      </c>
      <c r="AC495" t="s">
        <v>251</v>
      </c>
    </row>
    <row r="496" spans="1:29" outlineLevel="1" x14ac:dyDescent="0.2">
      <c r="B496" s="386" t="s">
        <v>2543</v>
      </c>
      <c r="N496">
        <f>SUBTOTAL(9,N495:N495)</f>
        <v>108732.91</v>
      </c>
    </row>
    <row r="497" spans="1:29" outlineLevel="2" x14ac:dyDescent="0.2">
      <c r="A497">
        <v>506</v>
      </c>
      <c r="B497">
        <v>5818955</v>
      </c>
      <c r="C497">
        <v>58189556</v>
      </c>
      <c r="D497" t="s">
        <v>2117</v>
      </c>
      <c r="E497" t="s">
        <v>2320</v>
      </c>
      <c r="F497">
        <v>996000</v>
      </c>
      <c r="G497" t="s">
        <v>2384</v>
      </c>
      <c r="H497">
        <v>90534</v>
      </c>
      <c r="I497">
        <v>3</v>
      </c>
      <c r="J497">
        <v>5</v>
      </c>
      <c r="K497">
        <v>39</v>
      </c>
      <c r="L497">
        <v>0</v>
      </c>
      <c r="M497">
        <v>243</v>
      </c>
      <c r="N497">
        <v>17382.150000000001</v>
      </c>
      <c r="O497">
        <v>0</v>
      </c>
      <c r="P497">
        <v>0</v>
      </c>
      <c r="Q497">
        <v>16169.55</v>
      </c>
      <c r="R497">
        <v>0</v>
      </c>
      <c r="S497">
        <v>572.4</v>
      </c>
      <c r="T497">
        <v>15597.15</v>
      </c>
      <c r="U497">
        <v>0</v>
      </c>
      <c r="V497">
        <v>0</v>
      </c>
      <c r="W497">
        <v>0</v>
      </c>
      <c r="X497">
        <v>0</v>
      </c>
      <c r="Y497">
        <v>1212.5999999999999</v>
      </c>
      <c r="Z497">
        <v>0</v>
      </c>
      <c r="AA497">
        <v>0</v>
      </c>
      <c r="AB497">
        <v>1996000</v>
      </c>
      <c r="AC497" t="s">
        <v>251</v>
      </c>
    </row>
    <row r="498" spans="1:29" outlineLevel="1" x14ac:dyDescent="0.2">
      <c r="B498" s="386" t="s">
        <v>2542</v>
      </c>
      <c r="N498">
        <f>SUBTOTAL(9,N497:N497)</f>
        <v>17382.150000000001</v>
      </c>
    </row>
    <row r="499" spans="1:29" outlineLevel="2" x14ac:dyDescent="0.2">
      <c r="A499">
        <v>506</v>
      </c>
      <c r="B499">
        <v>5853061</v>
      </c>
      <c r="C499">
        <v>58530619</v>
      </c>
      <c r="D499" t="s">
        <v>1390</v>
      </c>
      <c r="E499" t="s">
        <v>2187</v>
      </c>
      <c r="F499">
        <v>813202</v>
      </c>
      <c r="G499" t="s">
        <v>2384</v>
      </c>
      <c r="H499">
        <v>90534</v>
      </c>
      <c r="I499">
        <v>0</v>
      </c>
      <c r="J499">
        <v>5</v>
      </c>
      <c r="K499">
        <v>5</v>
      </c>
      <c r="L499">
        <v>0</v>
      </c>
      <c r="M499">
        <v>425.8</v>
      </c>
      <c r="N499">
        <v>37919.480000000003</v>
      </c>
      <c r="O499">
        <v>5811.7</v>
      </c>
      <c r="P499">
        <v>998.39</v>
      </c>
      <c r="Q499">
        <v>28938.94</v>
      </c>
      <c r="R499">
        <v>0</v>
      </c>
      <c r="S499">
        <v>3195.6</v>
      </c>
      <c r="T499">
        <v>0</v>
      </c>
      <c r="U499">
        <v>0</v>
      </c>
      <c r="V499">
        <v>604.79999999999995</v>
      </c>
      <c r="W499">
        <v>0</v>
      </c>
      <c r="X499">
        <v>25138.54</v>
      </c>
      <c r="Y499">
        <v>2170.4499999999998</v>
      </c>
      <c r="Z499">
        <v>0</v>
      </c>
      <c r="AA499">
        <v>0</v>
      </c>
      <c r="AB499">
        <v>1813202</v>
      </c>
      <c r="AC499" t="s">
        <v>251</v>
      </c>
    </row>
    <row r="500" spans="1:29" outlineLevel="1" x14ac:dyDescent="0.2">
      <c r="B500" s="386" t="s">
        <v>2541</v>
      </c>
      <c r="N500">
        <f>SUBTOTAL(9,N499:N499)</f>
        <v>37919.480000000003</v>
      </c>
    </row>
    <row r="501" spans="1:29" outlineLevel="2" x14ac:dyDescent="0.2">
      <c r="A501">
        <v>506</v>
      </c>
      <c r="B501">
        <v>5854289</v>
      </c>
      <c r="C501">
        <v>58542895</v>
      </c>
      <c r="D501" t="s">
        <v>1329</v>
      </c>
      <c r="E501" t="s">
        <v>1110</v>
      </c>
      <c r="F501">
        <v>812200</v>
      </c>
      <c r="G501" t="s">
        <v>2384</v>
      </c>
      <c r="H501">
        <v>90534</v>
      </c>
      <c r="I501">
        <v>0</v>
      </c>
      <c r="J501">
        <v>5</v>
      </c>
      <c r="K501">
        <v>37</v>
      </c>
      <c r="L501">
        <v>0</v>
      </c>
      <c r="M501">
        <v>747</v>
      </c>
      <c r="N501">
        <v>71031.97</v>
      </c>
      <c r="O501">
        <v>8418.4500000000007</v>
      </c>
      <c r="P501">
        <v>2107.0700000000002</v>
      </c>
      <c r="Q501">
        <v>56285.05</v>
      </c>
      <c r="R501">
        <v>0</v>
      </c>
      <c r="S501">
        <v>5124.3999999999996</v>
      </c>
      <c r="T501">
        <v>0</v>
      </c>
      <c r="U501">
        <v>0</v>
      </c>
      <c r="V501">
        <v>1290.8</v>
      </c>
      <c r="W501">
        <v>0</v>
      </c>
      <c r="X501">
        <v>49869.85</v>
      </c>
      <c r="Y501">
        <v>4221.3999999999996</v>
      </c>
      <c r="Z501">
        <v>0</v>
      </c>
      <c r="AA501">
        <v>0</v>
      </c>
      <c r="AB501">
        <v>1812200</v>
      </c>
      <c r="AC501" t="s">
        <v>251</v>
      </c>
    </row>
    <row r="502" spans="1:29" outlineLevel="1" x14ac:dyDescent="0.2">
      <c r="B502" s="386" t="s">
        <v>2540</v>
      </c>
      <c r="N502">
        <f>SUBTOTAL(9,N501:N501)</f>
        <v>71031.97</v>
      </c>
    </row>
    <row r="503" spans="1:29" outlineLevel="2" x14ac:dyDescent="0.2">
      <c r="A503">
        <v>506</v>
      </c>
      <c r="B503">
        <v>5854368</v>
      </c>
      <c r="C503">
        <v>58543687</v>
      </c>
      <c r="D503" t="s">
        <v>2131</v>
      </c>
      <c r="E503" t="s">
        <v>2267</v>
      </c>
      <c r="F503">
        <v>623000</v>
      </c>
      <c r="G503" t="s">
        <v>2384</v>
      </c>
      <c r="H503">
        <v>90534</v>
      </c>
      <c r="I503">
        <v>0</v>
      </c>
      <c r="J503">
        <v>5</v>
      </c>
      <c r="K503">
        <v>38</v>
      </c>
      <c r="L503">
        <v>0</v>
      </c>
      <c r="M503">
        <v>900</v>
      </c>
      <c r="N503">
        <v>97635.64</v>
      </c>
      <c r="O503">
        <v>7777.35</v>
      </c>
      <c r="P503">
        <v>3944.4</v>
      </c>
      <c r="Q503">
        <v>79853.990000000005</v>
      </c>
      <c r="R503">
        <v>0</v>
      </c>
      <c r="S503">
        <v>7196</v>
      </c>
      <c r="T503">
        <v>0</v>
      </c>
      <c r="U503">
        <v>0</v>
      </c>
      <c r="V503">
        <v>2160.85</v>
      </c>
      <c r="W503">
        <v>0</v>
      </c>
      <c r="X503">
        <v>70497.14</v>
      </c>
      <c r="Y503">
        <v>6059.9</v>
      </c>
      <c r="Z503">
        <v>0</v>
      </c>
      <c r="AA503">
        <v>0</v>
      </c>
      <c r="AB503">
        <v>1623000</v>
      </c>
      <c r="AC503" t="s">
        <v>251</v>
      </c>
    </row>
    <row r="504" spans="1:29" outlineLevel="1" x14ac:dyDescent="0.2">
      <c r="B504" s="386" t="s">
        <v>2539</v>
      </c>
      <c r="N504">
        <f>SUBTOTAL(9,N503:N503)</f>
        <v>97635.64</v>
      </c>
    </row>
    <row r="505" spans="1:29" outlineLevel="2" x14ac:dyDescent="0.2">
      <c r="A505">
        <v>506</v>
      </c>
      <c r="B505">
        <v>5859254</v>
      </c>
      <c r="C505">
        <v>58592544</v>
      </c>
      <c r="D505" t="s">
        <v>1419</v>
      </c>
      <c r="E505" t="s">
        <v>2151</v>
      </c>
      <c r="F505">
        <v>812200</v>
      </c>
      <c r="G505" t="s">
        <v>2384</v>
      </c>
      <c r="H505">
        <v>90534</v>
      </c>
      <c r="I505">
        <v>0</v>
      </c>
      <c r="J505">
        <v>5</v>
      </c>
      <c r="K505">
        <v>5</v>
      </c>
      <c r="L505">
        <v>0</v>
      </c>
      <c r="M505">
        <v>664</v>
      </c>
      <c r="N505">
        <v>58979.33</v>
      </c>
      <c r="O505">
        <v>9064.85</v>
      </c>
      <c r="P505">
        <v>1567.34</v>
      </c>
      <c r="Q505">
        <v>44974.09</v>
      </c>
      <c r="R505">
        <v>0</v>
      </c>
      <c r="S505">
        <v>4420.6000000000004</v>
      </c>
      <c r="T505">
        <v>0</v>
      </c>
      <c r="U505">
        <v>0</v>
      </c>
      <c r="V505">
        <v>1282.6500000000001</v>
      </c>
      <c r="W505">
        <v>0</v>
      </c>
      <c r="X505">
        <v>39270.839999999997</v>
      </c>
      <c r="Y505">
        <v>3373.05</v>
      </c>
      <c r="Z505">
        <v>0</v>
      </c>
      <c r="AA505">
        <v>0</v>
      </c>
      <c r="AB505">
        <v>1812200</v>
      </c>
      <c r="AC505" t="s">
        <v>251</v>
      </c>
    </row>
    <row r="506" spans="1:29" outlineLevel="2" x14ac:dyDescent="0.2">
      <c r="A506">
        <v>506</v>
      </c>
      <c r="B506">
        <v>5859254</v>
      </c>
      <c r="C506">
        <v>58592544</v>
      </c>
      <c r="D506" t="s">
        <v>1419</v>
      </c>
      <c r="E506" t="s">
        <v>2151</v>
      </c>
      <c r="F506">
        <v>812300</v>
      </c>
      <c r="G506" t="s">
        <v>2384</v>
      </c>
      <c r="H506">
        <v>90534</v>
      </c>
      <c r="I506">
        <v>0</v>
      </c>
      <c r="J506">
        <v>5</v>
      </c>
      <c r="K506">
        <v>5</v>
      </c>
      <c r="L506">
        <v>0</v>
      </c>
      <c r="M506">
        <v>83</v>
      </c>
      <c r="N506">
        <v>6233.24</v>
      </c>
      <c r="O506">
        <v>973.65</v>
      </c>
      <c r="P506">
        <v>163.55000000000001</v>
      </c>
      <c r="Q506">
        <v>4740.49</v>
      </c>
      <c r="R506">
        <v>0</v>
      </c>
      <c r="S506">
        <v>0</v>
      </c>
      <c r="T506">
        <v>0</v>
      </c>
      <c r="U506">
        <v>0</v>
      </c>
      <c r="V506">
        <v>136.75</v>
      </c>
      <c r="W506">
        <v>0</v>
      </c>
      <c r="X506">
        <v>4603.74</v>
      </c>
      <c r="Y506">
        <v>355.55</v>
      </c>
      <c r="Z506">
        <v>0</v>
      </c>
      <c r="AA506">
        <v>0</v>
      </c>
      <c r="AB506">
        <v>1812300</v>
      </c>
      <c r="AC506" t="s">
        <v>251</v>
      </c>
    </row>
    <row r="507" spans="1:29" outlineLevel="1" x14ac:dyDescent="0.2">
      <c r="B507" s="386" t="s">
        <v>2538</v>
      </c>
      <c r="N507">
        <f>SUBTOTAL(9,N505:N506)</f>
        <v>65212.57</v>
      </c>
    </row>
    <row r="508" spans="1:29" outlineLevel="2" x14ac:dyDescent="0.2">
      <c r="A508">
        <v>506</v>
      </c>
      <c r="B508">
        <v>5891062</v>
      </c>
      <c r="C508">
        <v>58910621</v>
      </c>
      <c r="D508" t="s">
        <v>2185</v>
      </c>
      <c r="E508" t="s">
        <v>2188</v>
      </c>
      <c r="F508">
        <v>813202</v>
      </c>
      <c r="G508" t="s">
        <v>2384</v>
      </c>
      <c r="H508">
        <v>90534</v>
      </c>
      <c r="I508">
        <v>0</v>
      </c>
      <c r="J508">
        <v>5</v>
      </c>
      <c r="K508">
        <v>5</v>
      </c>
      <c r="L508">
        <v>0</v>
      </c>
      <c r="M508">
        <v>350</v>
      </c>
      <c r="N508">
        <v>34844.15</v>
      </c>
      <c r="O508">
        <v>5351.9</v>
      </c>
      <c r="P508">
        <v>917.09</v>
      </c>
      <c r="Q508">
        <v>26581.61</v>
      </c>
      <c r="R508">
        <v>0</v>
      </c>
      <c r="S508">
        <v>3195.6</v>
      </c>
      <c r="T508">
        <v>0</v>
      </c>
      <c r="U508">
        <v>0</v>
      </c>
      <c r="V508">
        <v>1168.8</v>
      </c>
      <c r="W508">
        <v>0</v>
      </c>
      <c r="X508">
        <v>22217.21</v>
      </c>
      <c r="Y508">
        <v>1993.55</v>
      </c>
      <c r="Z508">
        <v>0</v>
      </c>
      <c r="AA508">
        <v>0</v>
      </c>
      <c r="AB508">
        <v>1813202</v>
      </c>
      <c r="AC508" t="s">
        <v>251</v>
      </c>
    </row>
    <row r="509" spans="1:29" outlineLevel="2" x14ac:dyDescent="0.2">
      <c r="A509">
        <v>506</v>
      </c>
      <c r="B509">
        <v>5891062</v>
      </c>
      <c r="C509">
        <v>58910621</v>
      </c>
      <c r="D509" t="s">
        <v>2185</v>
      </c>
      <c r="E509" t="s">
        <v>2188</v>
      </c>
      <c r="F509">
        <v>829000</v>
      </c>
      <c r="G509" t="s">
        <v>2384</v>
      </c>
      <c r="H509">
        <v>90534</v>
      </c>
      <c r="I509">
        <v>0</v>
      </c>
      <c r="J509">
        <v>5</v>
      </c>
      <c r="K509">
        <v>4</v>
      </c>
      <c r="L509">
        <v>0</v>
      </c>
      <c r="M509">
        <v>100</v>
      </c>
      <c r="N509">
        <v>9309.26</v>
      </c>
      <c r="O509">
        <v>1304.5999999999999</v>
      </c>
      <c r="P509">
        <v>248.91</v>
      </c>
      <c r="Q509">
        <v>7214.65</v>
      </c>
      <c r="R509">
        <v>0</v>
      </c>
      <c r="S509">
        <v>0</v>
      </c>
      <c r="T509">
        <v>0</v>
      </c>
      <c r="U509">
        <v>0</v>
      </c>
      <c r="V509">
        <v>462.5</v>
      </c>
      <c r="W509">
        <v>0</v>
      </c>
      <c r="X509">
        <v>6752.15</v>
      </c>
      <c r="Y509">
        <v>541.1</v>
      </c>
      <c r="Z509">
        <v>0</v>
      </c>
      <c r="AA509">
        <v>0</v>
      </c>
      <c r="AB509">
        <v>1829000</v>
      </c>
      <c r="AC509" t="s">
        <v>251</v>
      </c>
    </row>
    <row r="510" spans="1:29" outlineLevel="1" x14ac:dyDescent="0.2">
      <c r="B510" s="386" t="s">
        <v>2537</v>
      </c>
      <c r="N510">
        <f>SUBTOTAL(9,N508:N509)</f>
        <v>44153.41</v>
      </c>
    </row>
    <row r="511" spans="1:29" outlineLevel="2" x14ac:dyDescent="0.2">
      <c r="A511">
        <v>506</v>
      </c>
      <c r="B511">
        <v>5891124</v>
      </c>
      <c r="C511">
        <v>58911249</v>
      </c>
      <c r="D511" t="s">
        <v>932</v>
      </c>
      <c r="E511" t="s">
        <v>2268</v>
      </c>
      <c r="F511">
        <v>711100</v>
      </c>
      <c r="G511" t="s">
        <v>2384</v>
      </c>
      <c r="H511">
        <v>90534</v>
      </c>
      <c r="I511">
        <v>0</v>
      </c>
      <c r="J511">
        <v>5</v>
      </c>
      <c r="K511">
        <v>8</v>
      </c>
      <c r="L511">
        <v>0</v>
      </c>
      <c r="M511">
        <v>900</v>
      </c>
      <c r="N511">
        <v>94934.42</v>
      </c>
      <c r="O511">
        <v>6894.75</v>
      </c>
      <c r="P511">
        <v>5405.45</v>
      </c>
      <c r="Q511">
        <v>75113.17</v>
      </c>
      <c r="R511">
        <v>0</v>
      </c>
      <c r="S511">
        <v>7196</v>
      </c>
      <c r="T511">
        <v>0</v>
      </c>
      <c r="U511">
        <v>0</v>
      </c>
      <c r="V511">
        <v>437.4</v>
      </c>
      <c r="W511">
        <v>6902.45</v>
      </c>
      <c r="X511">
        <v>60577.32</v>
      </c>
      <c r="Y511">
        <v>7521.05</v>
      </c>
      <c r="Z511">
        <v>0</v>
      </c>
      <c r="AA511">
        <v>0</v>
      </c>
      <c r="AB511">
        <v>1711100</v>
      </c>
      <c r="AC511" t="s">
        <v>251</v>
      </c>
    </row>
    <row r="512" spans="1:29" outlineLevel="1" x14ac:dyDescent="0.2">
      <c r="B512" s="386" t="s">
        <v>2536</v>
      </c>
      <c r="N512">
        <f>SUBTOTAL(9,N511:N511)</f>
        <v>94934.42</v>
      </c>
    </row>
    <row r="513" spans="1:29" outlineLevel="2" x14ac:dyDescent="0.2">
      <c r="A513">
        <v>506</v>
      </c>
      <c r="B513">
        <v>5897607</v>
      </c>
      <c r="C513">
        <v>58976077</v>
      </c>
      <c r="D513" t="s">
        <v>2208</v>
      </c>
      <c r="E513" t="s">
        <v>2228</v>
      </c>
      <c r="F513">
        <v>814000</v>
      </c>
      <c r="G513" t="s">
        <v>2384</v>
      </c>
      <c r="H513">
        <v>90534</v>
      </c>
      <c r="I513">
        <v>0</v>
      </c>
      <c r="J513">
        <v>5</v>
      </c>
      <c r="K513">
        <v>7</v>
      </c>
      <c r="L513">
        <v>0</v>
      </c>
      <c r="M513">
        <v>900</v>
      </c>
      <c r="N513">
        <v>82691.55</v>
      </c>
      <c r="O513">
        <v>12505.5</v>
      </c>
      <c r="P513">
        <v>2559.0500000000002</v>
      </c>
      <c r="Q513">
        <v>62908.9</v>
      </c>
      <c r="R513">
        <v>0</v>
      </c>
      <c r="S513">
        <v>5326</v>
      </c>
      <c r="T513">
        <v>0</v>
      </c>
      <c r="U513">
        <v>0</v>
      </c>
      <c r="V513">
        <v>2200.6999999999998</v>
      </c>
      <c r="W513">
        <v>1533</v>
      </c>
      <c r="X513">
        <v>53849.2</v>
      </c>
      <c r="Y513">
        <v>4718.1000000000004</v>
      </c>
      <c r="Z513">
        <v>0</v>
      </c>
      <c r="AA513">
        <v>0</v>
      </c>
      <c r="AB513">
        <v>1814000</v>
      </c>
      <c r="AC513" t="s">
        <v>251</v>
      </c>
    </row>
    <row r="514" spans="1:29" outlineLevel="1" x14ac:dyDescent="0.2">
      <c r="B514" s="386" t="s">
        <v>2535</v>
      </c>
      <c r="N514">
        <f>SUBTOTAL(9,N513:N513)</f>
        <v>82691.55</v>
      </c>
    </row>
    <row r="515" spans="1:29" outlineLevel="2" x14ac:dyDescent="0.2">
      <c r="A515">
        <v>506</v>
      </c>
      <c r="B515">
        <v>5897615</v>
      </c>
      <c r="C515">
        <v>58976150</v>
      </c>
      <c r="D515" t="s">
        <v>1419</v>
      </c>
      <c r="E515" t="s">
        <v>2172</v>
      </c>
      <c r="F515">
        <v>813201</v>
      </c>
      <c r="G515" t="s">
        <v>2384</v>
      </c>
      <c r="H515">
        <v>90534</v>
      </c>
      <c r="I515">
        <v>0</v>
      </c>
      <c r="J515">
        <v>5</v>
      </c>
      <c r="K515">
        <v>37</v>
      </c>
      <c r="L515">
        <v>0</v>
      </c>
      <c r="M515">
        <v>747</v>
      </c>
      <c r="N515">
        <v>82490.16</v>
      </c>
      <c r="O515">
        <v>6279.75</v>
      </c>
      <c r="P515">
        <v>2992.68</v>
      </c>
      <c r="Q515">
        <v>68109.53</v>
      </c>
      <c r="R515">
        <v>0</v>
      </c>
      <c r="S515">
        <v>5828.25</v>
      </c>
      <c r="T515">
        <v>0</v>
      </c>
      <c r="U515">
        <v>0</v>
      </c>
      <c r="V515">
        <v>1428.15</v>
      </c>
      <c r="W515">
        <v>0</v>
      </c>
      <c r="X515">
        <v>60853.13</v>
      </c>
      <c r="Y515">
        <v>5108.2</v>
      </c>
      <c r="Z515">
        <v>0</v>
      </c>
      <c r="AA515">
        <v>0</v>
      </c>
      <c r="AB515">
        <v>1813201</v>
      </c>
      <c r="AC515" t="s">
        <v>251</v>
      </c>
    </row>
    <row r="516" spans="1:29" outlineLevel="1" x14ac:dyDescent="0.2">
      <c r="B516" s="386" t="s">
        <v>2534</v>
      </c>
      <c r="N516">
        <f>SUBTOTAL(9,N515:N515)</f>
        <v>82490.16</v>
      </c>
    </row>
    <row r="517" spans="1:29" outlineLevel="2" x14ac:dyDescent="0.2">
      <c r="A517">
        <v>506</v>
      </c>
      <c r="B517">
        <v>5897797</v>
      </c>
      <c r="C517">
        <v>58977976</v>
      </c>
      <c r="D517" t="s">
        <v>2131</v>
      </c>
      <c r="E517" t="s">
        <v>2298</v>
      </c>
      <c r="F517">
        <v>814000</v>
      </c>
      <c r="G517" t="s">
        <v>2384</v>
      </c>
      <c r="H517">
        <v>90534</v>
      </c>
      <c r="I517">
        <v>0</v>
      </c>
      <c r="J517">
        <v>5</v>
      </c>
      <c r="K517">
        <v>37</v>
      </c>
      <c r="L517">
        <v>0</v>
      </c>
      <c r="M517">
        <v>800</v>
      </c>
      <c r="N517">
        <v>75835.55</v>
      </c>
      <c r="O517">
        <v>11440.1</v>
      </c>
      <c r="P517">
        <v>2441.87</v>
      </c>
      <c r="Q517">
        <v>57631.18</v>
      </c>
      <c r="R517">
        <v>0</v>
      </c>
      <c r="S517">
        <v>5750</v>
      </c>
      <c r="T517">
        <v>0</v>
      </c>
      <c r="U517">
        <v>0</v>
      </c>
      <c r="V517">
        <v>2015.3</v>
      </c>
      <c r="W517">
        <v>508.25</v>
      </c>
      <c r="X517">
        <v>49357.63</v>
      </c>
      <c r="Y517">
        <v>4322.3999999999996</v>
      </c>
      <c r="Z517">
        <v>0</v>
      </c>
      <c r="AA517">
        <v>0</v>
      </c>
      <c r="AB517">
        <v>1814000</v>
      </c>
      <c r="AC517" t="s">
        <v>251</v>
      </c>
    </row>
    <row r="518" spans="1:29" outlineLevel="2" x14ac:dyDescent="0.2">
      <c r="A518">
        <v>506</v>
      </c>
      <c r="B518">
        <v>5897797</v>
      </c>
      <c r="C518">
        <v>58977976</v>
      </c>
      <c r="D518" t="s">
        <v>2131</v>
      </c>
      <c r="E518" t="s">
        <v>2298</v>
      </c>
      <c r="F518">
        <v>824000</v>
      </c>
      <c r="G518" t="s">
        <v>2384</v>
      </c>
      <c r="H518">
        <v>90534</v>
      </c>
      <c r="I518">
        <v>0</v>
      </c>
      <c r="J518">
        <v>5</v>
      </c>
      <c r="K518">
        <v>37</v>
      </c>
      <c r="L518">
        <v>0</v>
      </c>
      <c r="M518">
        <v>100</v>
      </c>
      <c r="N518">
        <v>8273.56</v>
      </c>
      <c r="O518">
        <v>1274.95</v>
      </c>
      <c r="P518">
        <v>236.7</v>
      </c>
      <c r="Q518">
        <v>6290.16</v>
      </c>
      <c r="R518">
        <v>0</v>
      </c>
      <c r="S518">
        <v>0</v>
      </c>
      <c r="T518">
        <v>0</v>
      </c>
      <c r="U518">
        <v>0</v>
      </c>
      <c r="V518">
        <v>222.9</v>
      </c>
      <c r="W518">
        <v>0</v>
      </c>
      <c r="X518">
        <v>6067.26</v>
      </c>
      <c r="Y518">
        <v>471.75</v>
      </c>
      <c r="Z518">
        <v>0</v>
      </c>
      <c r="AA518">
        <v>0</v>
      </c>
      <c r="AB518">
        <v>1824000</v>
      </c>
      <c r="AC518" t="s">
        <v>251</v>
      </c>
    </row>
    <row r="519" spans="1:29" outlineLevel="1" x14ac:dyDescent="0.2">
      <c r="B519" s="386" t="s">
        <v>2533</v>
      </c>
      <c r="N519">
        <f>SUBTOTAL(9,N517:N518)</f>
        <v>84109.11</v>
      </c>
    </row>
    <row r="520" spans="1:29" outlineLevel="2" x14ac:dyDescent="0.2">
      <c r="A520">
        <v>506</v>
      </c>
      <c r="B520">
        <v>5931960</v>
      </c>
      <c r="C520">
        <v>59319608</v>
      </c>
      <c r="D520" t="s">
        <v>1374</v>
      </c>
      <c r="E520" t="s">
        <v>2125</v>
      </c>
      <c r="F520">
        <v>812200</v>
      </c>
      <c r="G520" t="s">
        <v>2384</v>
      </c>
      <c r="H520">
        <v>90534</v>
      </c>
      <c r="I520">
        <v>0</v>
      </c>
      <c r="J520">
        <v>5</v>
      </c>
      <c r="K520">
        <v>37</v>
      </c>
      <c r="L520">
        <v>0</v>
      </c>
      <c r="M520">
        <v>664</v>
      </c>
      <c r="N520">
        <v>71986.960000000006</v>
      </c>
      <c r="O520">
        <v>5770.75</v>
      </c>
      <c r="P520">
        <v>2560.61</v>
      </c>
      <c r="Q520">
        <v>59214.5</v>
      </c>
      <c r="R520">
        <v>0</v>
      </c>
      <c r="S520">
        <v>5828.25</v>
      </c>
      <c r="T520">
        <v>0</v>
      </c>
      <c r="U520">
        <v>0</v>
      </c>
      <c r="V520">
        <v>1252.25</v>
      </c>
      <c r="W520">
        <v>0</v>
      </c>
      <c r="X520">
        <v>52134</v>
      </c>
      <c r="Y520">
        <v>4441.1000000000004</v>
      </c>
      <c r="Z520">
        <v>0</v>
      </c>
      <c r="AA520">
        <v>0</v>
      </c>
      <c r="AB520">
        <v>1812200</v>
      </c>
      <c r="AC520" t="s">
        <v>251</v>
      </c>
    </row>
    <row r="521" spans="1:29" outlineLevel="2" x14ac:dyDescent="0.2">
      <c r="A521">
        <v>506</v>
      </c>
      <c r="B521">
        <v>5931960</v>
      </c>
      <c r="C521">
        <v>59319608</v>
      </c>
      <c r="D521" t="s">
        <v>1374</v>
      </c>
      <c r="E521" t="s">
        <v>2125</v>
      </c>
      <c r="F521">
        <v>996000</v>
      </c>
      <c r="G521" t="s">
        <v>2384</v>
      </c>
      <c r="H521">
        <v>90534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12566.36</v>
      </c>
      <c r="O521">
        <v>0</v>
      </c>
      <c r="P521">
        <v>266.66000000000003</v>
      </c>
      <c r="Q521">
        <v>3723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3723</v>
      </c>
      <c r="Y521">
        <v>858.1</v>
      </c>
      <c r="Z521">
        <v>0</v>
      </c>
      <c r="AA521">
        <v>0</v>
      </c>
      <c r="AB521">
        <v>1996000</v>
      </c>
      <c r="AC521" t="s">
        <v>251</v>
      </c>
    </row>
    <row r="522" spans="1:29" outlineLevel="1" x14ac:dyDescent="0.2">
      <c r="B522" s="386" t="s">
        <v>2532</v>
      </c>
      <c r="N522">
        <f>SUBTOTAL(9,N520:N521)</f>
        <v>84553.32</v>
      </c>
    </row>
    <row r="523" spans="1:29" outlineLevel="2" x14ac:dyDescent="0.2">
      <c r="A523">
        <v>506</v>
      </c>
      <c r="B523">
        <v>5934536</v>
      </c>
      <c r="C523">
        <v>59345363</v>
      </c>
      <c r="D523" t="s">
        <v>2138</v>
      </c>
      <c r="E523" t="s">
        <v>2377</v>
      </c>
      <c r="F523">
        <v>996000</v>
      </c>
      <c r="G523" t="s">
        <v>2384</v>
      </c>
      <c r="H523">
        <v>90534</v>
      </c>
      <c r="I523">
        <v>3</v>
      </c>
      <c r="J523">
        <v>5</v>
      </c>
      <c r="K523">
        <v>39</v>
      </c>
      <c r="L523">
        <v>0</v>
      </c>
      <c r="M523">
        <v>456.3</v>
      </c>
      <c r="N523">
        <v>33748.199999999997</v>
      </c>
      <c r="O523">
        <v>0</v>
      </c>
      <c r="P523">
        <v>0</v>
      </c>
      <c r="Q523">
        <v>31393.55</v>
      </c>
      <c r="R523">
        <v>0</v>
      </c>
      <c r="S523">
        <v>1074.8499999999999</v>
      </c>
      <c r="T523">
        <v>30318.7</v>
      </c>
      <c r="U523">
        <v>0</v>
      </c>
      <c r="V523">
        <v>0</v>
      </c>
      <c r="W523">
        <v>0</v>
      </c>
      <c r="X523">
        <v>0</v>
      </c>
      <c r="Y523">
        <v>2354.65</v>
      </c>
      <c r="Z523">
        <v>0</v>
      </c>
      <c r="AA523">
        <v>0</v>
      </c>
      <c r="AB523">
        <v>1996000</v>
      </c>
      <c r="AC523" t="s">
        <v>251</v>
      </c>
    </row>
    <row r="524" spans="1:29" outlineLevel="1" x14ac:dyDescent="0.2">
      <c r="B524" s="386" t="s">
        <v>2531</v>
      </c>
      <c r="N524">
        <f>SUBTOTAL(9,N523:N523)</f>
        <v>33748.199999999997</v>
      </c>
    </row>
    <row r="525" spans="1:29" outlineLevel="2" x14ac:dyDescent="0.2">
      <c r="A525">
        <v>506</v>
      </c>
      <c r="B525">
        <v>5934878</v>
      </c>
      <c r="C525">
        <v>59348789</v>
      </c>
      <c r="D525" t="s">
        <v>2185</v>
      </c>
      <c r="E525" t="s">
        <v>2303</v>
      </c>
      <c r="F525">
        <v>829000</v>
      </c>
      <c r="G525" t="s">
        <v>2384</v>
      </c>
      <c r="H525">
        <v>90534</v>
      </c>
      <c r="I525">
        <v>0</v>
      </c>
      <c r="J525">
        <v>5</v>
      </c>
      <c r="K525">
        <v>37</v>
      </c>
      <c r="L525">
        <v>0</v>
      </c>
      <c r="M525">
        <v>900</v>
      </c>
      <c r="N525">
        <v>94015.92</v>
      </c>
      <c r="O525">
        <v>7301.7</v>
      </c>
      <c r="P525">
        <v>3693.58</v>
      </c>
      <c r="Q525">
        <v>77211.44</v>
      </c>
      <c r="R525">
        <v>0</v>
      </c>
      <c r="S525">
        <v>7022</v>
      </c>
      <c r="T525">
        <v>0</v>
      </c>
      <c r="U525">
        <v>0</v>
      </c>
      <c r="V525">
        <v>2257.9499999999998</v>
      </c>
      <c r="W525">
        <v>5169.1000000000004</v>
      </c>
      <c r="X525">
        <v>62762.39</v>
      </c>
      <c r="Y525">
        <v>5809.2</v>
      </c>
      <c r="Z525">
        <v>0</v>
      </c>
      <c r="AA525">
        <v>0</v>
      </c>
      <c r="AB525">
        <v>1829000</v>
      </c>
      <c r="AC525" t="s">
        <v>251</v>
      </c>
    </row>
    <row r="526" spans="1:29" outlineLevel="1" x14ac:dyDescent="0.2">
      <c r="B526" s="386" t="s">
        <v>2530</v>
      </c>
      <c r="N526">
        <f>SUBTOTAL(9,N525:N525)</f>
        <v>94015.92</v>
      </c>
    </row>
    <row r="527" spans="1:29" outlineLevel="2" x14ac:dyDescent="0.2">
      <c r="A527">
        <v>506</v>
      </c>
      <c r="B527">
        <v>5934908</v>
      </c>
      <c r="C527">
        <v>59349084</v>
      </c>
      <c r="D527" t="s">
        <v>1329</v>
      </c>
      <c r="E527" t="s">
        <v>2318</v>
      </c>
      <c r="F527">
        <v>841001</v>
      </c>
      <c r="G527" t="s">
        <v>2384</v>
      </c>
      <c r="H527">
        <v>90534</v>
      </c>
      <c r="I527">
        <v>0</v>
      </c>
      <c r="J527">
        <v>5</v>
      </c>
      <c r="K527">
        <v>37</v>
      </c>
      <c r="L527">
        <v>0</v>
      </c>
      <c r="M527">
        <v>747</v>
      </c>
      <c r="N527">
        <v>62997.91</v>
      </c>
      <c r="O527">
        <v>5045.95</v>
      </c>
      <c r="P527">
        <v>1832.57</v>
      </c>
      <c r="Q527">
        <v>52204.04</v>
      </c>
      <c r="R527">
        <v>0</v>
      </c>
      <c r="S527">
        <v>4772.5</v>
      </c>
      <c r="T527">
        <v>0</v>
      </c>
      <c r="U527">
        <v>0</v>
      </c>
      <c r="V527">
        <v>1960.7</v>
      </c>
      <c r="W527">
        <v>0</v>
      </c>
      <c r="X527">
        <v>45470.84</v>
      </c>
      <c r="Y527">
        <v>3915.35</v>
      </c>
      <c r="Z527">
        <v>0</v>
      </c>
      <c r="AA527">
        <v>0</v>
      </c>
      <c r="AB527">
        <v>1841001</v>
      </c>
      <c r="AC527" t="s">
        <v>251</v>
      </c>
    </row>
    <row r="528" spans="1:29" outlineLevel="1" x14ac:dyDescent="0.2">
      <c r="B528" s="386" t="s">
        <v>2529</v>
      </c>
      <c r="N528">
        <f>SUBTOTAL(9,N527:N527)</f>
        <v>62997.91</v>
      </c>
    </row>
    <row r="529" spans="1:29" outlineLevel="2" x14ac:dyDescent="0.2">
      <c r="A529">
        <v>506</v>
      </c>
      <c r="B529">
        <v>5938201</v>
      </c>
      <c r="C529">
        <v>59382010</v>
      </c>
      <c r="D529" t="s">
        <v>2131</v>
      </c>
      <c r="E529" t="s">
        <v>2381</v>
      </c>
      <c r="F529">
        <v>997000</v>
      </c>
      <c r="G529" t="s">
        <v>2384</v>
      </c>
      <c r="H529">
        <v>90534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2463</v>
      </c>
      <c r="O529">
        <v>0</v>
      </c>
      <c r="P529">
        <v>0</v>
      </c>
      <c r="Q529">
        <v>2463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2463</v>
      </c>
      <c r="Y529">
        <v>0</v>
      </c>
      <c r="Z529">
        <v>0</v>
      </c>
      <c r="AA529">
        <v>0</v>
      </c>
      <c r="AB529">
        <v>1997000</v>
      </c>
      <c r="AC529" t="s">
        <v>251</v>
      </c>
    </row>
    <row r="530" spans="1:29" outlineLevel="1" x14ac:dyDescent="0.2">
      <c r="B530" s="386" t="s">
        <v>2528</v>
      </c>
      <c r="N530">
        <f>SUBTOTAL(9,N529:N529)</f>
        <v>2463</v>
      </c>
    </row>
    <row r="531" spans="1:29" outlineLevel="2" x14ac:dyDescent="0.2">
      <c r="A531">
        <v>506</v>
      </c>
      <c r="B531">
        <v>5938504</v>
      </c>
      <c r="C531">
        <v>59385047</v>
      </c>
      <c r="D531" t="s">
        <v>1390</v>
      </c>
      <c r="E531" t="s">
        <v>2163</v>
      </c>
      <c r="F531">
        <v>742200</v>
      </c>
      <c r="G531" t="s">
        <v>2384</v>
      </c>
      <c r="H531">
        <v>90534</v>
      </c>
      <c r="I531">
        <v>0</v>
      </c>
      <c r="J531">
        <v>5</v>
      </c>
      <c r="K531">
        <v>9</v>
      </c>
      <c r="L531">
        <v>0</v>
      </c>
      <c r="M531">
        <v>200</v>
      </c>
      <c r="N531">
        <v>25346.52</v>
      </c>
      <c r="O531">
        <v>1938.05</v>
      </c>
      <c r="P531">
        <v>1091.1199999999999</v>
      </c>
      <c r="Q531">
        <v>20756.099999999999</v>
      </c>
      <c r="R531">
        <v>0</v>
      </c>
      <c r="S531">
        <v>0</v>
      </c>
      <c r="T531">
        <v>0</v>
      </c>
      <c r="U531">
        <v>2074.9</v>
      </c>
      <c r="V531">
        <v>777.2</v>
      </c>
      <c r="W531">
        <v>3427.5</v>
      </c>
      <c r="X531">
        <v>14476.5</v>
      </c>
      <c r="Y531">
        <v>1561.25</v>
      </c>
      <c r="Z531">
        <v>0</v>
      </c>
      <c r="AA531">
        <v>0</v>
      </c>
      <c r="AB531">
        <v>1742200</v>
      </c>
      <c r="AC531" t="s">
        <v>251</v>
      </c>
    </row>
    <row r="532" spans="1:29" outlineLevel="2" x14ac:dyDescent="0.2">
      <c r="A532">
        <v>506</v>
      </c>
      <c r="B532">
        <v>5938504</v>
      </c>
      <c r="C532">
        <v>59385047</v>
      </c>
      <c r="D532" t="s">
        <v>1390</v>
      </c>
      <c r="E532" t="s">
        <v>2163</v>
      </c>
      <c r="F532">
        <v>813200</v>
      </c>
      <c r="G532" t="s">
        <v>2384</v>
      </c>
      <c r="H532">
        <v>90534</v>
      </c>
      <c r="I532">
        <v>0</v>
      </c>
      <c r="J532">
        <v>5</v>
      </c>
      <c r="K532">
        <v>9</v>
      </c>
      <c r="L532">
        <v>0</v>
      </c>
      <c r="M532">
        <v>700</v>
      </c>
      <c r="N532">
        <v>99494.62</v>
      </c>
      <c r="O532">
        <v>8070.45</v>
      </c>
      <c r="P532">
        <v>4434.2299999999996</v>
      </c>
      <c r="Q532">
        <v>80910.289999999994</v>
      </c>
      <c r="R532">
        <v>0</v>
      </c>
      <c r="S532">
        <v>7620</v>
      </c>
      <c r="T532">
        <v>0</v>
      </c>
      <c r="U532">
        <v>7262.2</v>
      </c>
      <c r="V532">
        <v>2671.8</v>
      </c>
      <c r="W532">
        <v>10962.5</v>
      </c>
      <c r="X532">
        <v>52393.79</v>
      </c>
      <c r="Y532">
        <v>6079.65</v>
      </c>
      <c r="Z532">
        <v>0</v>
      </c>
      <c r="AA532">
        <v>0</v>
      </c>
      <c r="AB532">
        <v>1813200</v>
      </c>
      <c r="AC532" t="s">
        <v>251</v>
      </c>
    </row>
    <row r="533" spans="1:29" outlineLevel="1" x14ac:dyDescent="0.2">
      <c r="B533" s="386" t="s">
        <v>2527</v>
      </c>
      <c r="N533">
        <f>SUBTOTAL(9,N531:N532)</f>
        <v>124841.14</v>
      </c>
    </row>
    <row r="534" spans="1:29" outlineLevel="2" x14ac:dyDescent="0.2">
      <c r="A534">
        <v>506</v>
      </c>
      <c r="B534">
        <v>5938514</v>
      </c>
      <c r="C534">
        <v>59385146</v>
      </c>
      <c r="D534" t="s">
        <v>2119</v>
      </c>
      <c r="E534" t="s">
        <v>2289</v>
      </c>
      <c r="F534">
        <v>812200</v>
      </c>
      <c r="G534" t="s">
        <v>2384</v>
      </c>
      <c r="H534">
        <v>90534</v>
      </c>
      <c r="I534">
        <v>0</v>
      </c>
      <c r="J534">
        <v>5</v>
      </c>
      <c r="K534">
        <v>4</v>
      </c>
      <c r="L534">
        <v>0</v>
      </c>
      <c r="M534">
        <v>664</v>
      </c>
      <c r="N534">
        <v>46311.62</v>
      </c>
      <c r="O534">
        <v>7343.52</v>
      </c>
      <c r="P534">
        <v>1211.75</v>
      </c>
      <c r="Q534">
        <v>35122.230000000003</v>
      </c>
      <c r="R534">
        <v>0</v>
      </c>
      <c r="S534">
        <v>0</v>
      </c>
      <c r="T534">
        <v>0</v>
      </c>
      <c r="U534">
        <v>0</v>
      </c>
      <c r="V534">
        <v>201.6</v>
      </c>
      <c r="W534">
        <v>0</v>
      </c>
      <c r="X534">
        <v>34920.629999999997</v>
      </c>
      <c r="Y534">
        <v>2634.12</v>
      </c>
      <c r="Z534">
        <v>0</v>
      </c>
      <c r="AA534">
        <v>0</v>
      </c>
      <c r="AB534">
        <v>1812200</v>
      </c>
      <c r="AC534" t="s">
        <v>251</v>
      </c>
    </row>
    <row r="535" spans="1:29" outlineLevel="2" x14ac:dyDescent="0.2">
      <c r="A535">
        <v>506</v>
      </c>
      <c r="B535">
        <v>5938514</v>
      </c>
      <c r="C535">
        <v>59385146</v>
      </c>
      <c r="D535" t="s">
        <v>2119</v>
      </c>
      <c r="E535" t="s">
        <v>2289</v>
      </c>
      <c r="F535">
        <v>812301</v>
      </c>
      <c r="G535" t="s">
        <v>2384</v>
      </c>
      <c r="H535">
        <v>90534</v>
      </c>
      <c r="I535">
        <v>0</v>
      </c>
      <c r="J535">
        <v>5</v>
      </c>
      <c r="K535">
        <v>4</v>
      </c>
      <c r="L535">
        <v>0</v>
      </c>
      <c r="M535">
        <v>83</v>
      </c>
      <c r="N535">
        <v>5836.81</v>
      </c>
      <c r="O535">
        <v>925.57</v>
      </c>
      <c r="P535">
        <v>152.72</v>
      </c>
      <c r="Q535">
        <v>4426.53</v>
      </c>
      <c r="R535">
        <v>0</v>
      </c>
      <c r="S535">
        <v>0</v>
      </c>
      <c r="T535">
        <v>0</v>
      </c>
      <c r="U535">
        <v>0</v>
      </c>
      <c r="V535">
        <v>25.2</v>
      </c>
      <c r="W535">
        <v>0</v>
      </c>
      <c r="X535">
        <v>4401.33</v>
      </c>
      <c r="Y535">
        <v>331.99</v>
      </c>
      <c r="Z535">
        <v>0</v>
      </c>
      <c r="AA535">
        <v>0</v>
      </c>
      <c r="AB535">
        <v>1812301</v>
      </c>
      <c r="AC535" t="s">
        <v>251</v>
      </c>
    </row>
    <row r="536" spans="1:29" outlineLevel="2" x14ac:dyDescent="0.2">
      <c r="A536">
        <v>506</v>
      </c>
      <c r="B536">
        <v>5938514</v>
      </c>
      <c r="C536">
        <v>59385146</v>
      </c>
      <c r="D536" t="s">
        <v>2119</v>
      </c>
      <c r="E536" t="s">
        <v>2289</v>
      </c>
      <c r="F536">
        <v>996000</v>
      </c>
      <c r="G536" t="s">
        <v>2384</v>
      </c>
      <c r="H536">
        <v>90534</v>
      </c>
      <c r="I536">
        <v>3</v>
      </c>
      <c r="J536">
        <v>5</v>
      </c>
      <c r="K536">
        <v>8</v>
      </c>
      <c r="L536">
        <v>0</v>
      </c>
      <c r="M536">
        <v>465</v>
      </c>
      <c r="N536">
        <v>29590.87</v>
      </c>
      <c r="O536">
        <v>52.76</v>
      </c>
      <c r="P536">
        <v>36.369999999999997</v>
      </c>
      <c r="Q536">
        <v>29422.6</v>
      </c>
      <c r="R536">
        <v>0</v>
      </c>
      <c r="S536">
        <v>0</v>
      </c>
      <c r="T536">
        <v>28367.3</v>
      </c>
      <c r="U536">
        <v>0</v>
      </c>
      <c r="V536">
        <v>1055.3</v>
      </c>
      <c r="W536">
        <v>0</v>
      </c>
      <c r="X536">
        <v>0</v>
      </c>
      <c r="Y536">
        <v>79.14</v>
      </c>
      <c r="Z536">
        <v>0</v>
      </c>
      <c r="AA536">
        <v>0</v>
      </c>
      <c r="AB536">
        <v>1996000</v>
      </c>
      <c r="AC536" t="s">
        <v>251</v>
      </c>
    </row>
    <row r="537" spans="1:29" outlineLevel="1" x14ac:dyDescent="0.2">
      <c r="B537" s="386" t="s">
        <v>2526</v>
      </c>
      <c r="N537">
        <f>SUBTOTAL(9,N534:N536)</f>
        <v>81739.3</v>
      </c>
    </row>
    <row r="538" spans="1:29" outlineLevel="2" x14ac:dyDescent="0.2">
      <c r="A538">
        <v>506</v>
      </c>
      <c r="B538">
        <v>5944505</v>
      </c>
      <c r="C538">
        <v>59445056</v>
      </c>
      <c r="D538" t="s">
        <v>2198</v>
      </c>
      <c r="E538" t="s">
        <v>2203</v>
      </c>
      <c r="F538">
        <v>813310</v>
      </c>
      <c r="G538" t="s">
        <v>2384</v>
      </c>
      <c r="H538">
        <v>90534</v>
      </c>
      <c r="I538">
        <v>0</v>
      </c>
      <c r="J538">
        <v>5</v>
      </c>
      <c r="K538">
        <v>37</v>
      </c>
      <c r="L538">
        <v>0</v>
      </c>
      <c r="M538">
        <v>720</v>
      </c>
      <c r="N538">
        <v>65150.91</v>
      </c>
      <c r="O538">
        <v>5251.6</v>
      </c>
      <c r="P538">
        <v>1929.18</v>
      </c>
      <c r="Q538">
        <v>53925.73</v>
      </c>
      <c r="R538">
        <v>0</v>
      </c>
      <c r="S538">
        <v>5278.4</v>
      </c>
      <c r="T538">
        <v>0</v>
      </c>
      <c r="U538">
        <v>0</v>
      </c>
      <c r="V538">
        <v>1221.45</v>
      </c>
      <c r="W538">
        <v>0</v>
      </c>
      <c r="X538">
        <v>47425.88</v>
      </c>
      <c r="Y538">
        <v>4044.4</v>
      </c>
      <c r="Z538">
        <v>0</v>
      </c>
      <c r="AA538">
        <v>0</v>
      </c>
      <c r="AB538">
        <v>1813310</v>
      </c>
      <c r="AC538" t="s">
        <v>251</v>
      </c>
    </row>
    <row r="539" spans="1:29" outlineLevel="1" x14ac:dyDescent="0.2">
      <c r="B539" s="386" t="s">
        <v>2525</v>
      </c>
      <c r="N539">
        <f>SUBTOTAL(9,N538:N538)</f>
        <v>65150.91</v>
      </c>
    </row>
    <row r="540" spans="1:29" outlineLevel="2" x14ac:dyDescent="0.2">
      <c r="A540">
        <v>506</v>
      </c>
      <c r="B540">
        <v>5944677</v>
      </c>
      <c r="C540">
        <v>59446773</v>
      </c>
      <c r="D540" t="s">
        <v>1564</v>
      </c>
      <c r="E540" t="s">
        <v>2141</v>
      </c>
      <c r="F540">
        <v>812203</v>
      </c>
      <c r="G540" t="s">
        <v>2384</v>
      </c>
      <c r="H540">
        <v>90534</v>
      </c>
      <c r="I540">
        <v>0</v>
      </c>
      <c r="J540">
        <v>5</v>
      </c>
      <c r="K540">
        <v>4</v>
      </c>
      <c r="L540">
        <v>0</v>
      </c>
      <c r="M540">
        <v>747</v>
      </c>
      <c r="N540">
        <v>58881.25</v>
      </c>
      <c r="O540">
        <v>9237.82</v>
      </c>
      <c r="P540">
        <v>1543.67</v>
      </c>
      <c r="Q540">
        <v>44744.03</v>
      </c>
      <c r="R540">
        <v>0</v>
      </c>
      <c r="S540">
        <v>2236.9</v>
      </c>
      <c r="T540">
        <v>0</v>
      </c>
      <c r="U540">
        <v>0</v>
      </c>
      <c r="V540">
        <v>680.2</v>
      </c>
      <c r="W540">
        <v>0</v>
      </c>
      <c r="X540">
        <v>41826.93</v>
      </c>
      <c r="Y540">
        <v>3355.73</v>
      </c>
      <c r="Z540">
        <v>0</v>
      </c>
      <c r="AA540">
        <v>0</v>
      </c>
      <c r="AB540">
        <v>1812203</v>
      </c>
      <c r="AC540" t="s">
        <v>251</v>
      </c>
    </row>
    <row r="541" spans="1:29" outlineLevel="2" x14ac:dyDescent="0.2">
      <c r="A541">
        <v>506</v>
      </c>
      <c r="B541">
        <v>5944677</v>
      </c>
      <c r="C541">
        <v>59446773</v>
      </c>
      <c r="D541" t="s">
        <v>1564</v>
      </c>
      <c r="E541" t="s">
        <v>2141</v>
      </c>
      <c r="F541">
        <v>812600</v>
      </c>
      <c r="G541" t="s">
        <v>2384</v>
      </c>
      <c r="H541">
        <v>90534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-470.42</v>
      </c>
      <c r="O541">
        <v>-85.27</v>
      </c>
      <c r="P541">
        <v>-11.97</v>
      </c>
      <c r="Q541">
        <v>-347.15</v>
      </c>
      <c r="R541">
        <v>0</v>
      </c>
      <c r="S541">
        <v>0</v>
      </c>
      <c r="T541">
        <v>0</v>
      </c>
      <c r="U541">
        <v>0</v>
      </c>
      <c r="V541">
        <v>77.45</v>
      </c>
      <c r="W541">
        <v>0</v>
      </c>
      <c r="X541">
        <v>-424.6</v>
      </c>
      <c r="Y541">
        <v>-26.03</v>
      </c>
      <c r="Z541">
        <v>0</v>
      </c>
      <c r="AA541">
        <v>0</v>
      </c>
      <c r="AB541">
        <v>1812600</v>
      </c>
      <c r="AC541" t="s">
        <v>251</v>
      </c>
    </row>
    <row r="542" spans="1:29" outlineLevel="1" x14ac:dyDescent="0.2">
      <c r="B542" s="386" t="s">
        <v>2524</v>
      </c>
      <c r="N542">
        <f>SUBTOTAL(9,N540:N541)</f>
        <v>58410.83</v>
      </c>
    </row>
    <row r="543" spans="1:29" outlineLevel="2" x14ac:dyDescent="0.2">
      <c r="A543">
        <v>506</v>
      </c>
      <c r="B543">
        <v>5944901</v>
      </c>
      <c r="C543">
        <v>59449017</v>
      </c>
      <c r="D543" t="s">
        <v>2208</v>
      </c>
      <c r="E543" t="s">
        <v>2238</v>
      </c>
      <c r="F543">
        <v>817300</v>
      </c>
      <c r="G543" t="s">
        <v>2384</v>
      </c>
      <c r="H543">
        <v>90534</v>
      </c>
      <c r="I543">
        <v>0</v>
      </c>
      <c r="J543">
        <v>5</v>
      </c>
      <c r="K543">
        <v>8</v>
      </c>
      <c r="L543">
        <v>0</v>
      </c>
      <c r="M543">
        <v>675</v>
      </c>
      <c r="N543">
        <v>67219.13</v>
      </c>
      <c r="O543">
        <v>5497.7</v>
      </c>
      <c r="P543">
        <v>1979.59</v>
      </c>
      <c r="Q543">
        <v>55573.84</v>
      </c>
      <c r="R543">
        <v>0</v>
      </c>
      <c r="S543">
        <v>5715</v>
      </c>
      <c r="T543">
        <v>0</v>
      </c>
      <c r="U543">
        <v>0</v>
      </c>
      <c r="V543">
        <v>1770.65</v>
      </c>
      <c r="W543">
        <v>0</v>
      </c>
      <c r="X543">
        <v>48088.19</v>
      </c>
      <c r="Y543">
        <v>4168</v>
      </c>
      <c r="Z543">
        <v>0</v>
      </c>
      <c r="AA543">
        <v>0</v>
      </c>
      <c r="AB543">
        <v>1817300</v>
      </c>
      <c r="AC543" t="s">
        <v>251</v>
      </c>
    </row>
    <row r="544" spans="1:29" outlineLevel="1" x14ac:dyDescent="0.2">
      <c r="B544" s="386" t="s">
        <v>2523</v>
      </c>
      <c r="N544">
        <f>SUBTOTAL(9,N543:N543)</f>
        <v>67219.13</v>
      </c>
    </row>
    <row r="545" spans="1:29" outlineLevel="2" x14ac:dyDescent="0.2">
      <c r="A545">
        <v>506</v>
      </c>
      <c r="B545">
        <v>5944912</v>
      </c>
      <c r="C545">
        <v>59449124</v>
      </c>
      <c r="D545" t="s">
        <v>2117</v>
      </c>
      <c r="E545" t="s">
        <v>2257</v>
      </c>
      <c r="F545">
        <v>615000</v>
      </c>
      <c r="G545" t="s">
        <v>2384</v>
      </c>
      <c r="H545">
        <v>90534</v>
      </c>
      <c r="I545">
        <v>0</v>
      </c>
      <c r="J545">
        <v>5</v>
      </c>
      <c r="K545">
        <v>40</v>
      </c>
      <c r="L545">
        <v>0</v>
      </c>
      <c r="M545">
        <v>900</v>
      </c>
      <c r="N545">
        <v>123482.63</v>
      </c>
      <c r="O545">
        <v>8759.2999999999993</v>
      </c>
      <c r="P545">
        <v>5464.98</v>
      </c>
      <c r="Q545">
        <v>101677.9</v>
      </c>
      <c r="R545">
        <v>1549.4</v>
      </c>
      <c r="S545">
        <v>7196</v>
      </c>
      <c r="T545">
        <v>0</v>
      </c>
      <c r="U545">
        <v>11162.25</v>
      </c>
      <c r="V545">
        <v>2354.4</v>
      </c>
      <c r="W545">
        <v>0</v>
      </c>
      <c r="X545">
        <v>79415.850000000006</v>
      </c>
      <c r="Y545">
        <v>7580.45</v>
      </c>
      <c r="Z545">
        <v>0</v>
      </c>
      <c r="AA545">
        <v>0</v>
      </c>
      <c r="AB545">
        <v>1615000</v>
      </c>
      <c r="AC545" t="s">
        <v>251</v>
      </c>
    </row>
    <row r="546" spans="1:29" outlineLevel="1" x14ac:dyDescent="0.2">
      <c r="B546" s="386" t="s">
        <v>2522</v>
      </c>
      <c r="N546">
        <f>SUBTOTAL(9,N545:N545)</f>
        <v>123482.63</v>
      </c>
    </row>
    <row r="547" spans="1:29" outlineLevel="2" x14ac:dyDescent="0.2">
      <c r="A547">
        <v>506</v>
      </c>
      <c r="B547">
        <v>5944922</v>
      </c>
      <c r="C547">
        <v>59449223</v>
      </c>
      <c r="D547" t="s">
        <v>1329</v>
      </c>
      <c r="E547" t="s">
        <v>2189</v>
      </c>
      <c r="F547">
        <v>813202</v>
      </c>
      <c r="G547" t="s">
        <v>2384</v>
      </c>
      <c r="H547">
        <v>90534</v>
      </c>
      <c r="I547">
        <v>0</v>
      </c>
      <c r="J547">
        <v>5</v>
      </c>
      <c r="K547">
        <v>5</v>
      </c>
      <c r="L547">
        <v>0</v>
      </c>
      <c r="M547">
        <v>450</v>
      </c>
      <c r="N547">
        <v>63017.16</v>
      </c>
      <c r="O547">
        <v>9041.9</v>
      </c>
      <c r="P547">
        <v>1724.26</v>
      </c>
      <c r="Q547">
        <v>48605.55</v>
      </c>
      <c r="R547">
        <v>0</v>
      </c>
      <c r="S547">
        <v>3105.1</v>
      </c>
      <c r="T547">
        <v>0</v>
      </c>
      <c r="U547">
        <v>0</v>
      </c>
      <c r="V547">
        <v>1500.65</v>
      </c>
      <c r="W547">
        <v>0</v>
      </c>
      <c r="X547">
        <v>43999.8</v>
      </c>
      <c r="Y547">
        <v>3645.45</v>
      </c>
      <c r="Z547">
        <v>0</v>
      </c>
      <c r="AA547">
        <v>0</v>
      </c>
      <c r="AB547">
        <v>1813202</v>
      </c>
      <c r="AC547" t="s">
        <v>251</v>
      </c>
    </row>
    <row r="548" spans="1:29" outlineLevel="1" x14ac:dyDescent="0.2">
      <c r="B548" s="386" t="s">
        <v>2521</v>
      </c>
      <c r="N548">
        <f>SUBTOTAL(9,N547:N547)</f>
        <v>63017.16</v>
      </c>
    </row>
    <row r="549" spans="1:29" outlineLevel="2" x14ac:dyDescent="0.2">
      <c r="A549">
        <v>506</v>
      </c>
      <c r="B549">
        <v>5944923</v>
      </c>
      <c r="C549">
        <v>59449231</v>
      </c>
      <c r="D549" t="s">
        <v>2112</v>
      </c>
      <c r="E549" t="s">
        <v>2301</v>
      </c>
      <c r="F549">
        <v>828100</v>
      </c>
      <c r="G549" t="s">
        <v>2384</v>
      </c>
      <c r="H549">
        <v>90534</v>
      </c>
      <c r="I549">
        <v>0</v>
      </c>
      <c r="J549">
        <v>72</v>
      </c>
      <c r="K549">
        <v>70</v>
      </c>
      <c r="L549">
        <v>0</v>
      </c>
      <c r="M549">
        <v>900</v>
      </c>
      <c r="N549">
        <v>123236.76</v>
      </c>
      <c r="O549">
        <v>9354.5</v>
      </c>
      <c r="P549">
        <v>5429.6</v>
      </c>
      <c r="Q549">
        <v>100886.16</v>
      </c>
      <c r="R549">
        <v>0</v>
      </c>
      <c r="S549">
        <v>6318.25</v>
      </c>
      <c r="T549">
        <v>2440.8000000000002</v>
      </c>
      <c r="U549">
        <v>15702.25</v>
      </c>
      <c r="V549">
        <v>2112.4</v>
      </c>
      <c r="W549">
        <v>0</v>
      </c>
      <c r="X549">
        <v>74312.460000000006</v>
      </c>
      <c r="Y549">
        <v>7566.5</v>
      </c>
      <c r="Z549">
        <v>0</v>
      </c>
      <c r="AA549">
        <v>0</v>
      </c>
      <c r="AB549">
        <v>1828100</v>
      </c>
      <c r="AC549" t="s">
        <v>251</v>
      </c>
    </row>
    <row r="550" spans="1:29" outlineLevel="1" x14ac:dyDescent="0.2">
      <c r="B550" s="386" t="s">
        <v>2520</v>
      </c>
      <c r="N550">
        <f>SUBTOTAL(9,N549:N549)</f>
        <v>123236.76</v>
      </c>
    </row>
    <row r="551" spans="1:29" outlineLevel="2" x14ac:dyDescent="0.2">
      <c r="A551">
        <v>506</v>
      </c>
      <c r="B551">
        <v>5947278</v>
      </c>
      <c r="C551">
        <v>59472787</v>
      </c>
      <c r="D551" t="s">
        <v>2216</v>
      </c>
      <c r="E551" t="s">
        <v>2198</v>
      </c>
      <c r="F551">
        <v>615000</v>
      </c>
      <c r="G551" t="s">
        <v>2384</v>
      </c>
      <c r="H551">
        <v>90534</v>
      </c>
      <c r="I551">
        <v>0</v>
      </c>
      <c r="J551">
        <v>5</v>
      </c>
      <c r="K551">
        <v>37</v>
      </c>
      <c r="L551">
        <v>0</v>
      </c>
      <c r="M551">
        <v>450</v>
      </c>
      <c r="N551">
        <v>60929.74</v>
      </c>
      <c r="O551">
        <v>4628.1000000000004</v>
      </c>
      <c r="P551">
        <v>1772.31</v>
      </c>
      <c r="Q551">
        <v>50725.03</v>
      </c>
      <c r="R551">
        <v>952.65</v>
      </c>
      <c r="S551">
        <v>4213.2</v>
      </c>
      <c r="T551">
        <v>0</v>
      </c>
      <c r="U551">
        <v>6266.5</v>
      </c>
      <c r="V551">
        <v>1956.75</v>
      </c>
      <c r="W551">
        <v>0</v>
      </c>
      <c r="X551">
        <v>37335.93</v>
      </c>
      <c r="Y551">
        <v>3804.3</v>
      </c>
      <c r="Z551">
        <v>0</v>
      </c>
      <c r="AA551">
        <v>0</v>
      </c>
      <c r="AB551">
        <v>1615000</v>
      </c>
      <c r="AC551" t="s">
        <v>251</v>
      </c>
    </row>
    <row r="552" spans="1:29" outlineLevel="1" x14ac:dyDescent="0.2">
      <c r="B552" s="386" t="s">
        <v>2519</v>
      </c>
      <c r="N552">
        <f>SUBTOTAL(9,N551:N551)</f>
        <v>60929.74</v>
      </c>
    </row>
    <row r="553" spans="1:29" outlineLevel="2" x14ac:dyDescent="0.2">
      <c r="A553">
        <v>506</v>
      </c>
      <c r="B553">
        <v>5947985</v>
      </c>
      <c r="C553">
        <v>59479857</v>
      </c>
      <c r="D553" t="s">
        <v>2190</v>
      </c>
      <c r="E553" t="s">
        <v>2191</v>
      </c>
      <c r="F553">
        <v>813202</v>
      </c>
      <c r="G553" t="s">
        <v>2384</v>
      </c>
      <c r="H553">
        <v>90534</v>
      </c>
      <c r="I553">
        <v>1</v>
      </c>
      <c r="J553">
        <v>0</v>
      </c>
      <c r="K553">
        <v>0</v>
      </c>
      <c r="L553">
        <v>0</v>
      </c>
      <c r="M553">
        <v>0</v>
      </c>
      <c r="N553">
        <v>5821.6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406.2</v>
      </c>
      <c r="Z553">
        <v>0</v>
      </c>
      <c r="AA553">
        <v>0</v>
      </c>
      <c r="AB553">
        <v>1813202</v>
      </c>
      <c r="AC553" t="s">
        <v>251</v>
      </c>
    </row>
    <row r="554" spans="1:29" outlineLevel="1" x14ac:dyDescent="0.2">
      <c r="B554" s="386" t="s">
        <v>2518</v>
      </c>
      <c r="N554">
        <f>SUBTOTAL(9,N553:N553)</f>
        <v>5821.6</v>
      </c>
    </row>
    <row r="555" spans="1:29" outlineLevel="2" x14ac:dyDescent="0.2">
      <c r="A555">
        <v>506</v>
      </c>
      <c r="B555">
        <v>5954395</v>
      </c>
      <c r="C555">
        <v>59543959</v>
      </c>
      <c r="D555" t="s">
        <v>1329</v>
      </c>
      <c r="E555" t="s">
        <v>2378</v>
      </c>
      <c r="F555">
        <v>996000</v>
      </c>
      <c r="G555" t="s">
        <v>2384</v>
      </c>
      <c r="H555">
        <v>90534</v>
      </c>
      <c r="I555">
        <v>3</v>
      </c>
      <c r="J555">
        <v>5</v>
      </c>
      <c r="K555">
        <v>40</v>
      </c>
      <c r="L555">
        <v>0</v>
      </c>
      <c r="M555">
        <v>455.4</v>
      </c>
      <c r="N555">
        <v>40470.35</v>
      </c>
      <c r="O555">
        <v>0</v>
      </c>
      <c r="P555">
        <v>0</v>
      </c>
      <c r="Q555">
        <v>37646.699999999997</v>
      </c>
      <c r="R555">
        <v>0</v>
      </c>
      <c r="S555">
        <v>1072.7</v>
      </c>
      <c r="T555">
        <v>36574</v>
      </c>
      <c r="U555">
        <v>0</v>
      </c>
      <c r="V555">
        <v>0</v>
      </c>
      <c r="W555">
        <v>0</v>
      </c>
      <c r="X555">
        <v>0</v>
      </c>
      <c r="Y555">
        <v>2823.65</v>
      </c>
      <c r="Z555">
        <v>0</v>
      </c>
      <c r="AA555">
        <v>0</v>
      </c>
      <c r="AB555">
        <v>1996000</v>
      </c>
      <c r="AC555" t="s">
        <v>251</v>
      </c>
    </row>
    <row r="556" spans="1:29" outlineLevel="1" x14ac:dyDescent="0.2">
      <c r="B556" s="386" t="s">
        <v>2517</v>
      </c>
      <c r="N556">
        <f>SUBTOTAL(9,N555:N555)</f>
        <v>40470.35</v>
      </c>
    </row>
    <row r="557" spans="1:29" outlineLevel="2" x14ac:dyDescent="0.2">
      <c r="A557">
        <v>506</v>
      </c>
      <c r="B557">
        <v>5987092</v>
      </c>
      <c r="C557">
        <v>59870923</v>
      </c>
      <c r="D557" t="s">
        <v>2131</v>
      </c>
      <c r="E557" t="s">
        <v>2325</v>
      </c>
      <c r="F557">
        <v>913000</v>
      </c>
      <c r="G557" t="s">
        <v>2384</v>
      </c>
      <c r="H557">
        <v>90534</v>
      </c>
      <c r="I557">
        <v>0</v>
      </c>
      <c r="J557">
        <v>5</v>
      </c>
      <c r="K557">
        <v>9</v>
      </c>
      <c r="L557">
        <v>0</v>
      </c>
      <c r="M557">
        <v>900</v>
      </c>
      <c r="N557">
        <v>97789.38</v>
      </c>
      <c r="O557">
        <v>7138.1</v>
      </c>
      <c r="P557">
        <v>3951.39</v>
      </c>
      <c r="Q557">
        <v>80632.990000000005</v>
      </c>
      <c r="R557">
        <v>0</v>
      </c>
      <c r="S557">
        <v>7196</v>
      </c>
      <c r="T557">
        <v>0</v>
      </c>
      <c r="U557">
        <v>11754.2</v>
      </c>
      <c r="V557">
        <v>2286.65</v>
      </c>
      <c r="W557">
        <v>887.1</v>
      </c>
      <c r="X557">
        <v>58509.04</v>
      </c>
      <c r="Y557">
        <v>6066.9</v>
      </c>
      <c r="Z557">
        <v>0</v>
      </c>
      <c r="AA557">
        <v>0</v>
      </c>
      <c r="AB557">
        <v>1913000</v>
      </c>
      <c r="AC557" t="s">
        <v>251</v>
      </c>
    </row>
    <row r="558" spans="1:29" outlineLevel="1" x14ac:dyDescent="0.2">
      <c r="B558" s="386" t="s">
        <v>2516</v>
      </c>
      <c r="N558">
        <f>SUBTOTAL(9,N557:N557)</f>
        <v>97789.38</v>
      </c>
    </row>
    <row r="559" spans="1:29" outlineLevel="2" x14ac:dyDescent="0.2">
      <c r="A559">
        <v>506</v>
      </c>
      <c r="B559">
        <v>5987470</v>
      </c>
      <c r="C559">
        <v>59874701</v>
      </c>
      <c r="D559" t="s">
        <v>1329</v>
      </c>
      <c r="E559" t="s">
        <v>2195</v>
      </c>
      <c r="F559">
        <v>813300</v>
      </c>
      <c r="G559" t="s">
        <v>2384</v>
      </c>
      <c r="H559">
        <v>90534</v>
      </c>
      <c r="I559">
        <v>0</v>
      </c>
      <c r="J559">
        <v>5</v>
      </c>
      <c r="K559">
        <v>6</v>
      </c>
      <c r="L559">
        <v>0</v>
      </c>
      <c r="M559">
        <v>720</v>
      </c>
      <c r="N559">
        <v>63110.81</v>
      </c>
      <c r="O559">
        <v>10599.35</v>
      </c>
      <c r="P559">
        <v>1639.91</v>
      </c>
      <c r="Q559">
        <v>47322.35</v>
      </c>
      <c r="R559">
        <v>0</v>
      </c>
      <c r="S559">
        <v>4600</v>
      </c>
      <c r="T559">
        <v>0</v>
      </c>
      <c r="U559">
        <v>0</v>
      </c>
      <c r="V559">
        <v>1245.2</v>
      </c>
      <c r="W559">
        <v>0</v>
      </c>
      <c r="X559">
        <v>41477.15</v>
      </c>
      <c r="Y559">
        <v>3549.2</v>
      </c>
      <c r="Z559">
        <v>0</v>
      </c>
      <c r="AA559">
        <v>0</v>
      </c>
      <c r="AB559">
        <v>1813300</v>
      </c>
      <c r="AC559" t="s">
        <v>251</v>
      </c>
    </row>
    <row r="560" spans="1:29" outlineLevel="1" x14ac:dyDescent="0.2">
      <c r="B560" s="386" t="s">
        <v>2515</v>
      </c>
      <c r="N560">
        <f>SUBTOTAL(9,N559:N559)</f>
        <v>63110.81</v>
      </c>
    </row>
    <row r="561" spans="1:29" outlineLevel="2" x14ac:dyDescent="0.2">
      <c r="A561">
        <v>506</v>
      </c>
      <c r="B561">
        <v>5992863</v>
      </c>
      <c r="C561">
        <v>59928630</v>
      </c>
      <c r="D561" t="s">
        <v>1390</v>
      </c>
      <c r="E561" t="s">
        <v>2379</v>
      </c>
      <c r="F561">
        <v>996000</v>
      </c>
      <c r="G561" t="s">
        <v>2384</v>
      </c>
      <c r="H561">
        <v>90534</v>
      </c>
      <c r="I561">
        <v>3</v>
      </c>
      <c r="J561">
        <v>39</v>
      </c>
      <c r="K561">
        <v>3</v>
      </c>
      <c r="L561">
        <v>0</v>
      </c>
      <c r="M561">
        <v>1234.8</v>
      </c>
      <c r="N561">
        <v>79995.149999999994</v>
      </c>
      <c r="O561">
        <v>0</v>
      </c>
      <c r="P561">
        <v>0</v>
      </c>
      <c r="Q561">
        <v>74414.100000000006</v>
      </c>
      <c r="R561">
        <v>0</v>
      </c>
      <c r="S561">
        <v>1058.2</v>
      </c>
      <c r="T561">
        <v>73355.899999999994</v>
      </c>
      <c r="U561">
        <v>0</v>
      </c>
      <c r="V561">
        <v>0</v>
      </c>
      <c r="W561">
        <v>0</v>
      </c>
      <c r="X561">
        <v>0</v>
      </c>
      <c r="Y561">
        <v>5581.05</v>
      </c>
      <c r="Z561">
        <v>0</v>
      </c>
      <c r="AA561">
        <v>0</v>
      </c>
      <c r="AB561">
        <v>1996000</v>
      </c>
      <c r="AC561" t="s">
        <v>251</v>
      </c>
    </row>
    <row r="562" spans="1:29" outlineLevel="1" x14ac:dyDescent="0.2">
      <c r="B562" s="386" t="s">
        <v>2514</v>
      </c>
      <c r="N562">
        <f>SUBTOTAL(9,N561:N561)</f>
        <v>79995.149999999994</v>
      </c>
    </row>
    <row r="563" spans="1:29" outlineLevel="2" x14ac:dyDescent="0.2">
      <c r="A563">
        <v>506</v>
      </c>
      <c r="B563">
        <v>5992866</v>
      </c>
      <c r="C563">
        <v>59928663</v>
      </c>
      <c r="D563" t="s">
        <v>2164</v>
      </c>
      <c r="E563" t="s">
        <v>2165</v>
      </c>
      <c r="F563">
        <v>813200</v>
      </c>
      <c r="G563" t="s">
        <v>2384</v>
      </c>
      <c r="H563">
        <v>90534</v>
      </c>
      <c r="I563">
        <v>0</v>
      </c>
      <c r="J563">
        <v>5</v>
      </c>
      <c r="K563">
        <v>6</v>
      </c>
      <c r="L563">
        <v>0</v>
      </c>
      <c r="M563">
        <v>900</v>
      </c>
      <c r="N563">
        <v>85236.34</v>
      </c>
      <c r="O563">
        <v>12693.4</v>
      </c>
      <c r="P563">
        <v>2708.36</v>
      </c>
      <c r="Q563">
        <v>64962.43</v>
      </c>
      <c r="R563">
        <v>0</v>
      </c>
      <c r="S563">
        <v>5326</v>
      </c>
      <c r="T563">
        <v>0</v>
      </c>
      <c r="U563">
        <v>0</v>
      </c>
      <c r="V563">
        <v>2154.6999999999998</v>
      </c>
      <c r="W563">
        <v>5251.8</v>
      </c>
      <c r="X563">
        <v>52229.93</v>
      </c>
      <c r="Y563">
        <v>4872.1499999999996</v>
      </c>
      <c r="Z563">
        <v>0</v>
      </c>
      <c r="AA563">
        <v>0</v>
      </c>
      <c r="AB563">
        <v>1813200</v>
      </c>
      <c r="AC563" t="s">
        <v>251</v>
      </c>
    </row>
    <row r="564" spans="1:29" outlineLevel="1" x14ac:dyDescent="0.2">
      <c r="B564" s="386" t="s">
        <v>2513</v>
      </c>
      <c r="N564">
        <f>SUBTOTAL(9,N563:N563)</f>
        <v>85236.34</v>
      </c>
    </row>
    <row r="565" spans="1:29" outlineLevel="2" x14ac:dyDescent="0.2">
      <c r="A565">
        <v>506</v>
      </c>
      <c r="B565">
        <v>5993069</v>
      </c>
      <c r="C565">
        <v>59930693</v>
      </c>
      <c r="D565" t="s">
        <v>2131</v>
      </c>
      <c r="E565" t="s">
        <v>2296</v>
      </c>
      <c r="F565">
        <v>823000</v>
      </c>
      <c r="G565" t="s">
        <v>2384</v>
      </c>
      <c r="H565">
        <v>90534</v>
      </c>
      <c r="I565">
        <v>0</v>
      </c>
      <c r="J565">
        <v>5</v>
      </c>
      <c r="K565">
        <v>37</v>
      </c>
      <c r="L565">
        <v>0</v>
      </c>
      <c r="M565">
        <v>675</v>
      </c>
      <c r="N565">
        <v>66659.77</v>
      </c>
      <c r="O565">
        <v>5440.7</v>
      </c>
      <c r="P565">
        <v>1974</v>
      </c>
      <c r="Q565">
        <v>55111.57</v>
      </c>
      <c r="R565">
        <v>0</v>
      </c>
      <c r="S565">
        <v>5266.5</v>
      </c>
      <c r="T565">
        <v>0</v>
      </c>
      <c r="U565">
        <v>0</v>
      </c>
      <c r="V565">
        <v>1983.65</v>
      </c>
      <c r="W565">
        <v>0</v>
      </c>
      <c r="X565">
        <v>47861.42</v>
      </c>
      <c r="Y565">
        <v>4133.5</v>
      </c>
      <c r="Z565">
        <v>0</v>
      </c>
      <c r="AA565">
        <v>0</v>
      </c>
      <c r="AB565">
        <v>1823000</v>
      </c>
      <c r="AC565" t="s">
        <v>251</v>
      </c>
    </row>
    <row r="566" spans="1:29" outlineLevel="1" x14ac:dyDescent="0.2">
      <c r="B566" s="386" t="s">
        <v>2512</v>
      </c>
      <c r="N566">
        <f>SUBTOTAL(9,N565:N565)</f>
        <v>66659.77</v>
      </c>
    </row>
    <row r="567" spans="1:29" outlineLevel="2" x14ac:dyDescent="0.2">
      <c r="A567">
        <v>506</v>
      </c>
      <c r="B567">
        <v>5994911</v>
      </c>
      <c r="C567">
        <v>59949115</v>
      </c>
      <c r="D567" t="s">
        <v>1329</v>
      </c>
      <c r="E567" t="s">
        <v>2233</v>
      </c>
      <c r="F567">
        <v>613000</v>
      </c>
      <c r="G567" t="s">
        <v>2384</v>
      </c>
      <c r="H567">
        <v>90534</v>
      </c>
      <c r="I567">
        <v>0</v>
      </c>
      <c r="J567">
        <v>39</v>
      </c>
      <c r="K567">
        <v>3</v>
      </c>
      <c r="L567">
        <v>0</v>
      </c>
      <c r="M567">
        <v>900</v>
      </c>
      <c r="N567">
        <v>276172.46999999997</v>
      </c>
      <c r="O567">
        <v>15638.2</v>
      </c>
      <c r="P567">
        <v>15287.17</v>
      </c>
      <c r="Q567">
        <v>227613.2</v>
      </c>
      <c r="R567">
        <v>5947.2</v>
      </c>
      <c r="S567">
        <v>7620</v>
      </c>
      <c r="T567">
        <v>0</v>
      </c>
      <c r="U567">
        <v>32408.9</v>
      </c>
      <c r="V567">
        <v>1917</v>
      </c>
      <c r="W567">
        <v>0</v>
      </c>
      <c r="X567">
        <v>179720.1</v>
      </c>
      <c r="Y567">
        <v>17383.900000000001</v>
      </c>
      <c r="Z567">
        <v>0</v>
      </c>
      <c r="AA567">
        <v>0</v>
      </c>
      <c r="AB567">
        <v>1613000</v>
      </c>
      <c r="AC567" t="s">
        <v>251</v>
      </c>
    </row>
    <row r="568" spans="1:29" outlineLevel="1" x14ac:dyDescent="0.2">
      <c r="B568" s="386" t="s">
        <v>2511</v>
      </c>
      <c r="N568">
        <f>SUBTOTAL(9,N567:N567)</f>
        <v>276172.46999999997</v>
      </c>
    </row>
    <row r="569" spans="1:29" outlineLevel="2" x14ac:dyDescent="0.2">
      <c r="A569">
        <v>506</v>
      </c>
      <c r="B569">
        <v>5996497</v>
      </c>
      <c r="C569">
        <v>59964973</v>
      </c>
      <c r="D569" t="s">
        <v>2224</v>
      </c>
      <c r="E569" t="s">
        <v>2309</v>
      </c>
      <c r="F569">
        <v>841000</v>
      </c>
      <c r="G569" t="s">
        <v>2384</v>
      </c>
      <c r="H569">
        <v>90534</v>
      </c>
      <c r="I569">
        <v>0</v>
      </c>
      <c r="J569">
        <v>86</v>
      </c>
      <c r="K569">
        <v>2</v>
      </c>
      <c r="L569">
        <v>2</v>
      </c>
      <c r="M569">
        <v>675</v>
      </c>
      <c r="N569">
        <v>88863.26</v>
      </c>
      <c r="O569">
        <v>8326.2999999999993</v>
      </c>
      <c r="P569">
        <v>3367.03</v>
      </c>
      <c r="Q569">
        <v>71675.48</v>
      </c>
      <c r="R569">
        <v>0</v>
      </c>
      <c r="S569">
        <v>4659.6000000000004</v>
      </c>
      <c r="T569">
        <v>0</v>
      </c>
      <c r="U569">
        <v>5197.5</v>
      </c>
      <c r="V569">
        <v>2109.5</v>
      </c>
      <c r="W569">
        <v>0</v>
      </c>
      <c r="X569">
        <v>59708.88</v>
      </c>
      <c r="Y569">
        <v>5494.45</v>
      </c>
      <c r="Z569">
        <v>0</v>
      </c>
      <c r="AA569">
        <v>0</v>
      </c>
      <c r="AB569">
        <v>1841000</v>
      </c>
      <c r="AC569" t="s">
        <v>251</v>
      </c>
    </row>
    <row r="570" spans="1:29" outlineLevel="1" x14ac:dyDescent="0.2">
      <c r="B570" s="386" t="s">
        <v>2510</v>
      </c>
      <c r="N570">
        <f>SUBTOTAL(9,N569:N569)</f>
        <v>88863.26</v>
      </c>
    </row>
    <row r="571" spans="1:29" outlineLevel="2" x14ac:dyDescent="0.2">
      <c r="A571">
        <v>506</v>
      </c>
      <c r="B571">
        <v>6128021</v>
      </c>
      <c r="C571">
        <v>61280210</v>
      </c>
      <c r="D571" t="s">
        <v>1374</v>
      </c>
      <c r="E571" t="s">
        <v>2289</v>
      </c>
      <c r="F571">
        <v>841000</v>
      </c>
      <c r="G571" t="s">
        <v>2384</v>
      </c>
      <c r="H571">
        <v>90534</v>
      </c>
      <c r="I571">
        <v>0</v>
      </c>
      <c r="J571">
        <v>86</v>
      </c>
      <c r="K571">
        <v>3</v>
      </c>
      <c r="L571">
        <v>3</v>
      </c>
      <c r="M571">
        <v>880</v>
      </c>
      <c r="N571">
        <v>117138.63</v>
      </c>
      <c r="O571">
        <v>18692.25</v>
      </c>
      <c r="P571">
        <v>4569.5200000000004</v>
      </c>
      <c r="Q571">
        <v>87191.81</v>
      </c>
      <c r="R571">
        <v>0</v>
      </c>
      <c r="S571">
        <v>3921.6</v>
      </c>
      <c r="T571">
        <v>0</v>
      </c>
      <c r="U571">
        <v>6652.8</v>
      </c>
      <c r="V571">
        <v>2049.35</v>
      </c>
      <c r="W571">
        <v>0</v>
      </c>
      <c r="X571">
        <v>74568.06</v>
      </c>
      <c r="Y571">
        <v>6685.05</v>
      </c>
      <c r="Z571">
        <v>0</v>
      </c>
      <c r="AA571">
        <v>0</v>
      </c>
      <c r="AB571">
        <v>1841000</v>
      </c>
      <c r="AC571" t="s">
        <v>251</v>
      </c>
    </row>
    <row r="572" spans="1:29" outlineLevel="1" x14ac:dyDescent="0.2">
      <c r="B572" s="386" t="s">
        <v>2509</v>
      </c>
      <c r="N572">
        <f>SUBTOTAL(9,N571:N571)</f>
        <v>117138.63</v>
      </c>
    </row>
    <row r="573" spans="1:29" outlineLevel="2" x14ac:dyDescent="0.2">
      <c r="A573">
        <v>506</v>
      </c>
      <c r="B573">
        <v>6287104</v>
      </c>
      <c r="C573">
        <v>62871041</v>
      </c>
      <c r="D573" t="s">
        <v>2208</v>
      </c>
      <c r="E573" t="s">
        <v>2209</v>
      </c>
      <c r="F573">
        <v>813320</v>
      </c>
      <c r="G573" t="s">
        <v>2384</v>
      </c>
      <c r="H573">
        <v>90534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46998.16</v>
      </c>
      <c r="O573">
        <v>4796.8500000000004</v>
      </c>
      <c r="P573">
        <v>1337.96</v>
      </c>
      <c r="Q573">
        <v>38012.400000000001</v>
      </c>
      <c r="R573">
        <v>0</v>
      </c>
      <c r="S573">
        <v>2130.4</v>
      </c>
      <c r="T573">
        <v>0</v>
      </c>
      <c r="U573">
        <v>0</v>
      </c>
      <c r="V573">
        <v>2480.4</v>
      </c>
      <c r="W573">
        <v>0</v>
      </c>
      <c r="X573">
        <v>33401.599999999999</v>
      </c>
      <c r="Y573">
        <v>2850.95</v>
      </c>
      <c r="Z573">
        <v>0</v>
      </c>
      <c r="AA573">
        <v>0</v>
      </c>
      <c r="AB573">
        <v>1813320</v>
      </c>
      <c r="AC573" t="s">
        <v>251</v>
      </c>
    </row>
    <row r="574" spans="1:29" outlineLevel="1" x14ac:dyDescent="0.2">
      <c r="B574" s="386" t="s">
        <v>2508</v>
      </c>
      <c r="N574">
        <f>SUBTOTAL(9,N573:N573)</f>
        <v>46998.16</v>
      </c>
    </row>
    <row r="575" spans="1:29" outlineLevel="2" x14ac:dyDescent="0.2">
      <c r="A575">
        <v>506</v>
      </c>
      <c r="B575">
        <v>6287487</v>
      </c>
      <c r="C575">
        <v>62874870</v>
      </c>
      <c r="D575" t="s">
        <v>1419</v>
      </c>
      <c r="E575" t="s">
        <v>2249</v>
      </c>
      <c r="F575">
        <v>819000</v>
      </c>
      <c r="G575" t="s">
        <v>2384</v>
      </c>
      <c r="H575">
        <v>90534</v>
      </c>
      <c r="I575">
        <v>0</v>
      </c>
      <c r="J575">
        <v>3</v>
      </c>
      <c r="K575">
        <v>2</v>
      </c>
      <c r="L575">
        <v>0</v>
      </c>
      <c r="M575">
        <v>900</v>
      </c>
      <c r="N575">
        <v>106802.89</v>
      </c>
      <c r="O575">
        <v>16272.75</v>
      </c>
      <c r="P575">
        <v>3951.07</v>
      </c>
      <c r="Q575">
        <v>80538.740000000005</v>
      </c>
      <c r="R575">
        <v>2184</v>
      </c>
      <c r="S575">
        <v>5326</v>
      </c>
      <c r="T575">
        <v>2164.9499999999998</v>
      </c>
      <c r="U575">
        <v>0</v>
      </c>
      <c r="V575">
        <v>1816.2</v>
      </c>
      <c r="W575">
        <v>0</v>
      </c>
      <c r="X575">
        <v>69047.59</v>
      </c>
      <c r="Y575">
        <v>6040.33</v>
      </c>
      <c r="Z575">
        <v>0</v>
      </c>
      <c r="AA575">
        <v>0</v>
      </c>
      <c r="AB575">
        <v>1819000</v>
      </c>
      <c r="AC575" t="s">
        <v>251</v>
      </c>
    </row>
    <row r="576" spans="1:29" outlineLevel="2" x14ac:dyDescent="0.2">
      <c r="A576">
        <v>506</v>
      </c>
      <c r="B576">
        <v>6287487</v>
      </c>
      <c r="C576">
        <v>62874870</v>
      </c>
      <c r="D576" t="s">
        <v>1419</v>
      </c>
      <c r="E576" t="s">
        <v>2249</v>
      </c>
      <c r="F576">
        <v>828000</v>
      </c>
      <c r="G576" t="s">
        <v>2384</v>
      </c>
      <c r="H576">
        <v>90534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1075.9000000000001</v>
      </c>
      <c r="O576">
        <v>0</v>
      </c>
      <c r="P576">
        <v>45.68</v>
      </c>
      <c r="Q576">
        <v>958.35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958.35</v>
      </c>
      <c r="Y576">
        <v>71.87</v>
      </c>
      <c r="Z576">
        <v>0</v>
      </c>
      <c r="AA576">
        <v>0</v>
      </c>
      <c r="AB576">
        <v>1828000</v>
      </c>
      <c r="AC576" t="s">
        <v>251</v>
      </c>
    </row>
    <row r="577" spans="1:29" outlineLevel="1" x14ac:dyDescent="0.2">
      <c r="B577" s="386" t="s">
        <v>2507</v>
      </c>
      <c r="N577">
        <f>SUBTOTAL(9,N575:N576)</f>
        <v>107878.79</v>
      </c>
    </row>
    <row r="578" spans="1:29" outlineLevel="2" x14ac:dyDescent="0.2">
      <c r="A578">
        <v>506</v>
      </c>
      <c r="B578">
        <v>6574078</v>
      </c>
      <c r="C578">
        <v>65740789</v>
      </c>
      <c r="D578" t="s">
        <v>932</v>
      </c>
      <c r="E578" t="s">
        <v>2210</v>
      </c>
      <c r="F578">
        <v>813320</v>
      </c>
      <c r="G578" t="s">
        <v>2384</v>
      </c>
      <c r="H578">
        <v>90534</v>
      </c>
      <c r="I578">
        <v>1</v>
      </c>
      <c r="J578">
        <v>0</v>
      </c>
      <c r="K578">
        <v>0</v>
      </c>
      <c r="L578">
        <v>0</v>
      </c>
      <c r="M578">
        <v>0</v>
      </c>
      <c r="N578">
        <v>61083.31</v>
      </c>
      <c r="O578">
        <v>9186.65</v>
      </c>
      <c r="P578">
        <v>1636.91</v>
      </c>
      <c r="Q578">
        <v>46753.3</v>
      </c>
      <c r="R578">
        <v>0</v>
      </c>
      <c r="S578">
        <v>4846.6499999999996</v>
      </c>
      <c r="T578">
        <v>0</v>
      </c>
      <c r="U578">
        <v>0</v>
      </c>
      <c r="V578">
        <v>2217.8000000000002</v>
      </c>
      <c r="W578">
        <v>0</v>
      </c>
      <c r="X578">
        <v>39688.85</v>
      </c>
      <c r="Y578">
        <v>3506.45</v>
      </c>
      <c r="Z578">
        <v>0</v>
      </c>
      <c r="AA578">
        <v>0</v>
      </c>
      <c r="AB578">
        <v>1813320</v>
      </c>
      <c r="AC578" t="s">
        <v>251</v>
      </c>
    </row>
    <row r="579" spans="1:29" outlineLevel="1" x14ac:dyDescent="0.2">
      <c r="B579" s="386" t="s">
        <v>2506</v>
      </c>
      <c r="N579">
        <f>SUBTOTAL(9,N578:N578)</f>
        <v>61083.31</v>
      </c>
    </row>
    <row r="580" spans="1:29" outlineLevel="2" x14ac:dyDescent="0.2">
      <c r="A580">
        <v>506</v>
      </c>
      <c r="B580">
        <v>6606771</v>
      </c>
      <c r="C580">
        <v>66067711</v>
      </c>
      <c r="D580" t="s">
        <v>2129</v>
      </c>
      <c r="E580" t="s">
        <v>2310</v>
      </c>
      <c r="F580">
        <v>841000</v>
      </c>
      <c r="G580" t="s">
        <v>2384</v>
      </c>
      <c r="H580">
        <v>90534</v>
      </c>
      <c r="I580">
        <v>0</v>
      </c>
      <c r="J580">
        <v>86</v>
      </c>
      <c r="K580">
        <v>2</v>
      </c>
      <c r="L580">
        <v>4</v>
      </c>
      <c r="M580">
        <v>110.4</v>
      </c>
      <c r="N580">
        <v>10911.82</v>
      </c>
      <c r="O580">
        <v>1031.6500000000001</v>
      </c>
      <c r="P580">
        <v>339.31</v>
      </c>
      <c r="Q580">
        <v>8803.26</v>
      </c>
      <c r="R580">
        <v>471.45</v>
      </c>
      <c r="S580">
        <v>0</v>
      </c>
      <c r="T580">
        <v>696.05</v>
      </c>
      <c r="U580">
        <v>481.25</v>
      </c>
      <c r="V580">
        <v>208.45</v>
      </c>
      <c r="W580">
        <v>0</v>
      </c>
      <c r="X580">
        <v>6946.06</v>
      </c>
      <c r="Y580">
        <v>737.6</v>
      </c>
      <c r="Z580">
        <v>0</v>
      </c>
      <c r="AA580">
        <v>0</v>
      </c>
      <c r="AB580">
        <v>1841000</v>
      </c>
      <c r="AC580" t="s">
        <v>251</v>
      </c>
    </row>
    <row r="581" spans="1:29" outlineLevel="1" x14ac:dyDescent="0.2">
      <c r="B581" s="386" t="s">
        <v>2505</v>
      </c>
      <c r="N581">
        <f>SUBTOTAL(9,N580:N580)</f>
        <v>10911.82</v>
      </c>
    </row>
    <row r="582" spans="1:29" outlineLevel="2" x14ac:dyDescent="0.2">
      <c r="A582">
        <v>506</v>
      </c>
      <c r="B582">
        <v>6614401</v>
      </c>
      <c r="C582">
        <v>66144015</v>
      </c>
      <c r="D582" t="s">
        <v>1329</v>
      </c>
      <c r="E582" t="s">
        <v>2211</v>
      </c>
      <c r="F582">
        <v>813320</v>
      </c>
      <c r="G582" t="s">
        <v>2384</v>
      </c>
      <c r="H582">
        <v>90534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3440.67</v>
      </c>
      <c r="O582">
        <v>359.25</v>
      </c>
      <c r="P582">
        <v>95.82</v>
      </c>
      <c r="Q582">
        <v>2777.3</v>
      </c>
      <c r="R582">
        <v>0</v>
      </c>
      <c r="S582">
        <v>0</v>
      </c>
      <c r="T582">
        <v>0</v>
      </c>
      <c r="U582">
        <v>0</v>
      </c>
      <c r="V582">
        <v>116.2</v>
      </c>
      <c r="W582">
        <v>0</v>
      </c>
      <c r="X582">
        <v>2661.1</v>
      </c>
      <c r="Y582">
        <v>208.3</v>
      </c>
      <c r="Z582">
        <v>0</v>
      </c>
      <c r="AA582">
        <v>0</v>
      </c>
      <c r="AB582">
        <v>1813320</v>
      </c>
      <c r="AC582" t="s">
        <v>251</v>
      </c>
    </row>
    <row r="583" spans="1:29" outlineLevel="1" x14ac:dyDescent="0.2">
      <c r="B583" s="386" t="s">
        <v>2504</v>
      </c>
      <c r="N583">
        <f>SUBTOTAL(9,N582:N582)</f>
        <v>3440.67</v>
      </c>
    </row>
    <row r="584" spans="1:29" outlineLevel="2" x14ac:dyDescent="0.2">
      <c r="A584">
        <v>506</v>
      </c>
      <c r="B584">
        <v>6614470</v>
      </c>
      <c r="C584">
        <v>66144700</v>
      </c>
      <c r="D584" t="s">
        <v>2212</v>
      </c>
      <c r="E584" t="s">
        <v>2213</v>
      </c>
      <c r="F584">
        <v>813320</v>
      </c>
      <c r="G584" t="s">
        <v>2384</v>
      </c>
      <c r="H584">
        <v>90534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39827.370000000003</v>
      </c>
      <c r="O584">
        <v>4057.65</v>
      </c>
      <c r="P584">
        <v>1112.27</v>
      </c>
      <c r="Q584">
        <v>32239.5</v>
      </c>
      <c r="R584">
        <v>0</v>
      </c>
      <c r="S584">
        <v>1224.9000000000001</v>
      </c>
      <c r="T584">
        <v>0</v>
      </c>
      <c r="U584">
        <v>0</v>
      </c>
      <c r="V584">
        <v>2182.8000000000002</v>
      </c>
      <c r="W584">
        <v>0</v>
      </c>
      <c r="X584">
        <v>28831.8</v>
      </c>
      <c r="Y584">
        <v>2417.9499999999998</v>
      </c>
      <c r="Z584">
        <v>0</v>
      </c>
      <c r="AA584">
        <v>0</v>
      </c>
      <c r="AB584">
        <v>1813320</v>
      </c>
      <c r="AC584" t="s">
        <v>251</v>
      </c>
    </row>
    <row r="585" spans="1:29" outlineLevel="1" x14ac:dyDescent="0.2">
      <c r="B585" s="386" t="s">
        <v>2503</v>
      </c>
      <c r="N585">
        <f>SUBTOTAL(9,N584:N584)</f>
        <v>39827.370000000003</v>
      </c>
    </row>
    <row r="586" spans="1:29" outlineLevel="2" x14ac:dyDescent="0.2">
      <c r="A586">
        <v>506</v>
      </c>
      <c r="B586">
        <v>6623133</v>
      </c>
      <c r="C586">
        <v>66231333</v>
      </c>
      <c r="D586" t="s">
        <v>2173</v>
      </c>
      <c r="E586" t="s">
        <v>2229</v>
      </c>
      <c r="F586">
        <v>814000</v>
      </c>
      <c r="G586" t="s">
        <v>2384</v>
      </c>
      <c r="H586">
        <v>90534</v>
      </c>
      <c r="I586">
        <v>0</v>
      </c>
      <c r="J586">
        <v>72</v>
      </c>
      <c r="K586">
        <v>37</v>
      </c>
      <c r="L586">
        <v>0</v>
      </c>
      <c r="M586">
        <v>450</v>
      </c>
      <c r="N586">
        <v>45761.599999999999</v>
      </c>
      <c r="O586">
        <v>7174</v>
      </c>
      <c r="P586">
        <v>1199.8900000000001</v>
      </c>
      <c r="Q586">
        <v>34779.26</v>
      </c>
      <c r="R586">
        <v>0</v>
      </c>
      <c r="S586">
        <v>3195.6</v>
      </c>
      <c r="T586">
        <v>0</v>
      </c>
      <c r="U586">
        <v>0</v>
      </c>
      <c r="V586">
        <v>1057.4000000000001</v>
      </c>
      <c r="W586">
        <v>0</v>
      </c>
      <c r="X586">
        <v>30526.26</v>
      </c>
      <c r="Y586">
        <v>2608.4499999999998</v>
      </c>
      <c r="Z586">
        <v>0</v>
      </c>
      <c r="AA586">
        <v>0</v>
      </c>
      <c r="AB586">
        <v>1814000</v>
      </c>
      <c r="AC586" t="s">
        <v>251</v>
      </c>
    </row>
    <row r="587" spans="1:29" outlineLevel="1" x14ac:dyDescent="0.2">
      <c r="B587" s="386" t="s">
        <v>2502</v>
      </c>
      <c r="N587">
        <f>SUBTOTAL(9,N586:N586)</f>
        <v>45761.599999999999</v>
      </c>
    </row>
    <row r="588" spans="1:29" outlineLevel="2" x14ac:dyDescent="0.2">
      <c r="A588">
        <v>506</v>
      </c>
      <c r="B588">
        <v>6670746</v>
      </c>
      <c r="C588">
        <v>66707464</v>
      </c>
      <c r="D588" t="s">
        <v>2111</v>
      </c>
      <c r="E588" t="s">
        <v>2223</v>
      </c>
      <c r="F588">
        <v>815200</v>
      </c>
      <c r="G588" t="s">
        <v>2384</v>
      </c>
      <c r="H588">
        <v>90534</v>
      </c>
      <c r="I588">
        <v>0</v>
      </c>
      <c r="J588">
        <v>93</v>
      </c>
      <c r="K588">
        <v>2</v>
      </c>
      <c r="L588">
        <v>0</v>
      </c>
      <c r="M588">
        <v>231</v>
      </c>
      <c r="N588">
        <v>19981.29</v>
      </c>
      <c r="O588">
        <v>2067.85</v>
      </c>
      <c r="P588">
        <v>621.33000000000004</v>
      </c>
      <c r="Q588">
        <v>15941.41</v>
      </c>
      <c r="R588">
        <v>0</v>
      </c>
      <c r="S588">
        <v>0</v>
      </c>
      <c r="T588">
        <v>811.35</v>
      </c>
      <c r="U588">
        <v>0</v>
      </c>
      <c r="V588">
        <v>577</v>
      </c>
      <c r="W588">
        <v>0</v>
      </c>
      <c r="X588">
        <v>14553.06</v>
      </c>
      <c r="Y588">
        <v>1350.7</v>
      </c>
      <c r="Z588">
        <v>0</v>
      </c>
      <c r="AA588">
        <v>0</v>
      </c>
      <c r="AB588">
        <v>1815200</v>
      </c>
      <c r="AC588" t="s">
        <v>251</v>
      </c>
    </row>
    <row r="589" spans="1:29" outlineLevel="1" x14ac:dyDescent="0.2">
      <c r="B589" s="386" t="s">
        <v>2501</v>
      </c>
      <c r="N589">
        <f>SUBTOTAL(9,N588:N588)</f>
        <v>19981.29</v>
      </c>
    </row>
    <row r="590" spans="1:29" outlineLevel="2" x14ac:dyDescent="0.2">
      <c r="A590">
        <v>506</v>
      </c>
      <c r="B590">
        <v>8094430</v>
      </c>
      <c r="C590">
        <v>80944309</v>
      </c>
      <c r="D590" t="s">
        <v>2258</v>
      </c>
      <c r="E590" t="s">
        <v>2259</v>
      </c>
      <c r="F590">
        <v>615000</v>
      </c>
      <c r="G590" t="s">
        <v>2384</v>
      </c>
      <c r="H590">
        <v>90534</v>
      </c>
      <c r="I590">
        <v>0</v>
      </c>
      <c r="J590">
        <v>5</v>
      </c>
      <c r="K590">
        <v>5</v>
      </c>
      <c r="L590">
        <v>0</v>
      </c>
      <c r="M590">
        <v>450</v>
      </c>
      <c r="N590">
        <v>44928.41</v>
      </c>
      <c r="O590">
        <v>6883.75</v>
      </c>
      <c r="P590">
        <v>1182.99</v>
      </c>
      <c r="Q590">
        <v>34289.919999999998</v>
      </c>
      <c r="R590">
        <v>0</v>
      </c>
      <c r="S590">
        <v>3195.6</v>
      </c>
      <c r="T590">
        <v>0</v>
      </c>
      <c r="U590">
        <v>0</v>
      </c>
      <c r="V590">
        <v>178.65</v>
      </c>
      <c r="W590">
        <v>0</v>
      </c>
      <c r="X590">
        <v>30915.67</v>
      </c>
      <c r="Y590">
        <v>2571.75</v>
      </c>
      <c r="Z590">
        <v>0</v>
      </c>
      <c r="AA590">
        <v>0</v>
      </c>
      <c r="AB590">
        <v>1615000</v>
      </c>
      <c r="AC590" t="s">
        <v>251</v>
      </c>
    </row>
    <row r="591" spans="1:29" outlineLevel="1" x14ac:dyDescent="0.2">
      <c r="B591" s="386" t="s">
        <v>2500</v>
      </c>
      <c r="N591">
        <f>SUBTOTAL(9,N590:N590)</f>
        <v>44928.41</v>
      </c>
    </row>
    <row r="592" spans="1:29" outlineLevel="2" x14ac:dyDescent="0.2">
      <c r="A592">
        <v>506</v>
      </c>
      <c r="B592">
        <v>8099260</v>
      </c>
      <c r="C592">
        <v>80992605</v>
      </c>
      <c r="D592" t="s">
        <v>932</v>
      </c>
      <c r="E592" t="s">
        <v>2380</v>
      </c>
      <c r="F592">
        <v>996000</v>
      </c>
      <c r="G592" t="s">
        <v>2384</v>
      </c>
      <c r="H592">
        <v>90534</v>
      </c>
      <c r="I592">
        <v>3</v>
      </c>
      <c r="J592">
        <v>5</v>
      </c>
      <c r="K592">
        <v>8</v>
      </c>
      <c r="L592">
        <v>0</v>
      </c>
      <c r="M592">
        <v>265.5</v>
      </c>
      <c r="N592">
        <v>18404.95</v>
      </c>
      <c r="O592">
        <v>0</v>
      </c>
      <c r="P592">
        <v>0</v>
      </c>
      <c r="Q592">
        <v>17121</v>
      </c>
      <c r="R592">
        <v>0</v>
      </c>
      <c r="S592">
        <v>625.4</v>
      </c>
      <c r="T592">
        <v>16495.599999999999</v>
      </c>
      <c r="U592">
        <v>0</v>
      </c>
      <c r="V592">
        <v>0</v>
      </c>
      <c r="W592">
        <v>0</v>
      </c>
      <c r="X592">
        <v>0</v>
      </c>
      <c r="Y592">
        <v>1283.95</v>
      </c>
      <c r="Z592">
        <v>0</v>
      </c>
      <c r="AA592">
        <v>0</v>
      </c>
      <c r="AB592">
        <v>1996000</v>
      </c>
      <c r="AC592" t="s">
        <v>251</v>
      </c>
    </row>
    <row r="593" spans="1:29" outlineLevel="1" x14ac:dyDescent="0.2">
      <c r="B593" s="386" t="s">
        <v>2499</v>
      </c>
      <c r="N593">
        <f>SUBTOTAL(9,N592:N592)</f>
        <v>18404.95</v>
      </c>
    </row>
    <row r="594" spans="1:29" outlineLevel="2" x14ac:dyDescent="0.2">
      <c r="A594">
        <v>506</v>
      </c>
      <c r="B594">
        <v>20055794</v>
      </c>
      <c r="C594">
        <v>200557940</v>
      </c>
      <c r="D594" t="s">
        <v>2216</v>
      </c>
      <c r="E594" t="s">
        <v>2239</v>
      </c>
      <c r="F594">
        <v>813202</v>
      </c>
      <c r="G594" t="s">
        <v>2384</v>
      </c>
      <c r="H594">
        <v>90534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665.68</v>
      </c>
      <c r="O594">
        <v>0</v>
      </c>
      <c r="P594">
        <v>20.69</v>
      </c>
      <c r="Q594">
        <v>600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600</v>
      </c>
      <c r="Y594">
        <v>44.99</v>
      </c>
      <c r="Z594">
        <v>0</v>
      </c>
      <c r="AA594">
        <v>0</v>
      </c>
      <c r="AB594">
        <v>1813202</v>
      </c>
      <c r="AC594" t="s">
        <v>251</v>
      </c>
    </row>
    <row r="595" spans="1:29" outlineLevel="2" x14ac:dyDescent="0.2">
      <c r="A595">
        <v>506</v>
      </c>
      <c r="B595">
        <v>20055794</v>
      </c>
      <c r="C595">
        <v>200557940</v>
      </c>
      <c r="D595" t="s">
        <v>2216</v>
      </c>
      <c r="E595" t="s">
        <v>2239</v>
      </c>
      <c r="F595">
        <v>817300</v>
      </c>
      <c r="G595" t="s">
        <v>2384</v>
      </c>
      <c r="H595">
        <v>90534</v>
      </c>
      <c r="I595">
        <v>0</v>
      </c>
      <c r="J595">
        <v>5</v>
      </c>
      <c r="K595">
        <v>5</v>
      </c>
      <c r="L595">
        <v>0</v>
      </c>
      <c r="M595">
        <v>450</v>
      </c>
      <c r="N595">
        <v>47476.35</v>
      </c>
      <c r="O595">
        <v>7245.35</v>
      </c>
      <c r="P595">
        <v>1250.9000000000001</v>
      </c>
      <c r="Q595">
        <v>36260.629999999997</v>
      </c>
      <c r="R595">
        <v>0</v>
      </c>
      <c r="S595">
        <v>3195.6</v>
      </c>
      <c r="T595">
        <v>0</v>
      </c>
      <c r="U595">
        <v>0</v>
      </c>
      <c r="V595">
        <v>1108.2</v>
      </c>
      <c r="W595">
        <v>0</v>
      </c>
      <c r="X595">
        <v>31956.83</v>
      </c>
      <c r="Y595">
        <v>2719.47</v>
      </c>
      <c r="Z595">
        <v>0</v>
      </c>
      <c r="AA595">
        <v>0</v>
      </c>
      <c r="AB595">
        <v>1817300</v>
      </c>
      <c r="AC595" t="s">
        <v>251</v>
      </c>
    </row>
    <row r="596" spans="1:29" outlineLevel="2" x14ac:dyDescent="0.2">
      <c r="A596">
        <v>506</v>
      </c>
      <c r="B596">
        <v>20055794</v>
      </c>
      <c r="C596">
        <v>200557940</v>
      </c>
      <c r="D596" t="s">
        <v>2216</v>
      </c>
      <c r="E596" t="s">
        <v>2239</v>
      </c>
      <c r="F596">
        <v>829000</v>
      </c>
      <c r="G596" t="s">
        <v>2384</v>
      </c>
      <c r="H596">
        <v>90534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1158.58</v>
      </c>
      <c r="O596">
        <v>80.150000000000006</v>
      </c>
      <c r="P596">
        <v>33.64</v>
      </c>
      <c r="Q596">
        <v>971.75</v>
      </c>
      <c r="R596">
        <v>0</v>
      </c>
      <c r="S596">
        <v>0</v>
      </c>
      <c r="T596">
        <v>0</v>
      </c>
      <c r="U596">
        <v>0</v>
      </c>
      <c r="V596">
        <v>484.1</v>
      </c>
      <c r="W596">
        <v>0</v>
      </c>
      <c r="X596">
        <v>487.65</v>
      </c>
      <c r="Y596">
        <v>73.040000000000006</v>
      </c>
      <c r="Z596">
        <v>0</v>
      </c>
      <c r="AA596">
        <v>0</v>
      </c>
      <c r="AB596">
        <v>1829000</v>
      </c>
      <c r="AC596" t="s">
        <v>251</v>
      </c>
    </row>
    <row r="597" spans="1:29" outlineLevel="1" x14ac:dyDescent="0.2">
      <c r="B597" s="386" t="s">
        <v>2498</v>
      </c>
      <c r="N597">
        <f>SUBTOTAL(9,N594:N596)</f>
        <v>49300.61</v>
      </c>
    </row>
    <row r="598" spans="1:29" outlineLevel="2" x14ac:dyDescent="0.2">
      <c r="A598">
        <v>506</v>
      </c>
      <c r="B598">
        <v>20056779</v>
      </c>
      <c r="C598">
        <v>200567790</v>
      </c>
      <c r="D598" t="s">
        <v>2410</v>
      </c>
      <c r="E598" t="s">
        <v>2156</v>
      </c>
      <c r="F598">
        <v>815200</v>
      </c>
      <c r="G598" t="s">
        <v>2384</v>
      </c>
      <c r="H598">
        <v>90534</v>
      </c>
      <c r="I598">
        <v>0</v>
      </c>
      <c r="J598">
        <v>93</v>
      </c>
      <c r="K598">
        <v>2</v>
      </c>
      <c r="L598">
        <v>0</v>
      </c>
      <c r="M598">
        <v>329.6</v>
      </c>
      <c r="N598">
        <v>27623.26</v>
      </c>
      <c r="O598">
        <v>2763.95</v>
      </c>
      <c r="P598">
        <v>773.02</v>
      </c>
      <c r="Q598">
        <v>22405.79</v>
      </c>
      <c r="R598">
        <v>1287.9000000000001</v>
      </c>
      <c r="S598">
        <v>0</v>
      </c>
      <c r="T598">
        <v>0</v>
      </c>
      <c r="U598">
        <v>0</v>
      </c>
      <c r="V598">
        <v>644.1</v>
      </c>
      <c r="W598">
        <v>0</v>
      </c>
      <c r="X598">
        <v>20473.79</v>
      </c>
      <c r="Y598">
        <v>1680.5</v>
      </c>
      <c r="Z598">
        <v>0</v>
      </c>
      <c r="AA598">
        <v>0</v>
      </c>
      <c r="AB598">
        <v>1815200</v>
      </c>
      <c r="AC598" t="s">
        <v>251</v>
      </c>
    </row>
    <row r="599" spans="1:29" outlineLevel="1" x14ac:dyDescent="0.2">
      <c r="B599" s="386" t="s">
        <v>2497</v>
      </c>
      <c r="N599">
        <f>SUBTOTAL(9,N598:N598)</f>
        <v>27623.26</v>
      </c>
    </row>
    <row r="600" spans="1:29" outlineLevel="2" x14ac:dyDescent="0.2">
      <c r="A600">
        <v>506</v>
      </c>
      <c r="B600">
        <v>20064680</v>
      </c>
      <c r="C600">
        <v>200646800</v>
      </c>
      <c r="D600" t="s">
        <v>2304</v>
      </c>
      <c r="E600" t="s">
        <v>2397</v>
      </c>
      <c r="F600">
        <v>812513</v>
      </c>
      <c r="G600" t="s">
        <v>2384</v>
      </c>
      <c r="H600">
        <v>90534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10724.42</v>
      </c>
      <c r="O600">
        <v>1085.2</v>
      </c>
      <c r="P600">
        <v>333.47</v>
      </c>
      <c r="Q600">
        <v>8580.7999999999993</v>
      </c>
      <c r="R600">
        <v>0</v>
      </c>
      <c r="S600">
        <v>0</v>
      </c>
      <c r="T600">
        <v>0</v>
      </c>
      <c r="U600">
        <v>0</v>
      </c>
      <c r="V600">
        <v>542.15</v>
      </c>
      <c r="W600">
        <v>0</v>
      </c>
      <c r="X600">
        <v>8038.65</v>
      </c>
      <c r="Y600">
        <v>724.95</v>
      </c>
      <c r="Z600">
        <v>0</v>
      </c>
      <c r="AA600">
        <v>0</v>
      </c>
      <c r="AB600">
        <v>1812513</v>
      </c>
      <c r="AC600" t="s">
        <v>251</v>
      </c>
    </row>
    <row r="601" spans="1:29" outlineLevel="1" x14ac:dyDescent="0.2">
      <c r="B601" s="386" t="s">
        <v>2496</v>
      </c>
      <c r="N601">
        <f>SUBTOTAL(9,N600:N600)</f>
        <v>10724.42</v>
      </c>
    </row>
    <row r="602" spans="1:29" outlineLevel="2" x14ac:dyDescent="0.2">
      <c r="A602">
        <v>506</v>
      </c>
      <c r="B602">
        <v>20077265</v>
      </c>
      <c r="C602">
        <v>200772655</v>
      </c>
      <c r="D602" t="s">
        <v>2131</v>
      </c>
      <c r="E602" t="s">
        <v>2214</v>
      </c>
      <c r="F602">
        <v>815200</v>
      </c>
      <c r="G602" t="s">
        <v>2384</v>
      </c>
      <c r="H602">
        <v>90534</v>
      </c>
      <c r="I602">
        <v>0</v>
      </c>
      <c r="J602">
        <v>73</v>
      </c>
      <c r="K602">
        <v>2</v>
      </c>
      <c r="L602">
        <v>0</v>
      </c>
      <c r="M602">
        <v>175</v>
      </c>
      <c r="N602">
        <v>13650.39</v>
      </c>
      <c r="O602">
        <v>1230.4000000000001</v>
      </c>
      <c r="P602">
        <v>386.2</v>
      </c>
      <c r="Q602">
        <v>11194.19</v>
      </c>
      <c r="R602">
        <v>596.35</v>
      </c>
      <c r="S602">
        <v>0</v>
      </c>
      <c r="T602">
        <v>978</v>
      </c>
      <c r="U602">
        <v>0</v>
      </c>
      <c r="V602">
        <v>664.15</v>
      </c>
      <c r="W602">
        <v>0</v>
      </c>
      <c r="X602">
        <v>8955.69</v>
      </c>
      <c r="Y602">
        <v>839.6</v>
      </c>
      <c r="Z602">
        <v>0</v>
      </c>
      <c r="AA602">
        <v>0</v>
      </c>
      <c r="AB602">
        <v>1815200</v>
      </c>
      <c r="AC602" t="s">
        <v>251</v>
      </c>
    </row>
    <row r="603" spans="1:29" outlineLevel="1" x14ac:dyDescent="0.2">
      <c r="B603" s="386" t="s">
        <v>2495</v>
      </c>
      <c r="N603">
        <f>SUBTOTAL(9,N602:N602)</f>
        <v>13650.39</v>
      </c>
    </row>
    <row r="604" spans="1:29" outlineLevel="2" x14ac:dyDescent="0.2">
      <c r="A604">
        <v>506</v>
      </c>
      <c r="B604">
        <v>20101925</v>
      </c>
      <c r="C604">
        <v>201019254</v>
      </c>
      <c r="D604" t="s">
        <v>2366</v>
      </c>
      <c r="E604" t="s">
        <v>2430</v>
      </c>
      <c r="F604">
        <v>817800</v>
      </c>
      <c r="G604" t="s">
        <v>2384</v>
      </c>
      <c r="H604">
        <v>90534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8160.14</v>
      </c>
      <c r="O604">
        <v>874.8</v>
      </c>
      <c r="P604">
        <v>253.74</v>
      </c>
      <c r="Q604">
        <v>6480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6480</v>
      </c>
      <c r="Y604">
        <v>551.6</v>
      </c>
      <c r="Z604">
        <v>0</v>
      </c>
      <c r="AA604">
        <v>0</v>
      </c>
      <c r="AB604">
        <v>1817800</v>
      </c>
      <c r="AC604" t="s">
        <v>251</v>
      </c>
    </row>
    <row r="605" spans="1:29" outlineLevel="1" x14ac:dyDescent="0.2">
      <c r="B605" s="386" t="s">
        <v>2494</v>
      </c>
      <c r="N605">
        <f>SUBTOTAL(9,N604:N604)</f>
        <v>8160.14</v>
      </c>
    </row>
    <row r="606" spans="1:29" outlineLevel="2" x14ac:dyDescent="0.2">
      <c r="A606">
        <v>506</v>
      </c>
      <c r="B606">
        <v>20118879</v>
      </c>
      <c r="C606">
        <v>201188794</v>
      </c>
      <c r="D606" t="s">
        <v>2431</v>
      </c>
      <c r="E606" t="s">
        <v>2432</v>
      </c>
      <c r="F606">
        <v>817800</v>
      </c>
      <c r="G606" t="s">
        <v>2384</v>
      </c>
      <c r="H606">
        <v>90534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6903.98</v>
      </c>
      <c r="O606">
        <v>710.8</v>
      </c>
      <c r="P606">
        <v>214.68</v>
      </c>
      <c r="Q606">
        <v>5511.8</v>
      </c>
      <c r="R606">
        <v>0</v>
      </c>
      <c r="S606">
        <v>0</v>
      </c>
      <c r="T606">
        <v>0</v>
      </c>
      <c r="U606">
        <v>0</v>
      </c>
      <c r="V606">
        <v>246.8</v>
      </c>
      <c r="W606">
        <v>0</v>
      </c>
      <c r="X606">
        <v>5265</v>
      </c>
      <c r="Y606">
        <v>466.7</v>
      </c>
      <c r="Z606">
        <v>0</v>
      </c>
      <c r="AA606">
        <v>0</v>
      </c>
      <c r="AB606">
        <v>1817800</v>
      </c>
      <c r="AC606" t="s">
        <v>251</v>
      </c>
    </row>
    <row r="607" spans="1:29" outlineLevel="1" x14ac:dyDescent="0.2">
      <c r="B607" s="386" t="s">
        <v>2493</v>
      </c>
      <c r="N607">
        <f>SUBTOTAL(9,N606:N606)</f>
        <v>6903.98</v>
      </c>
    </row>
    <row r="608" spans="1:29" outlineLevel="2" x14ac:dyDescent="0.2">
      <c r="A608">
        <v>506</v>
      </c>
      <c r="B608">
        <v>20152285</v>
      </c>
      <c r="C608">
        <v>201522851</v>
      </c>
      <c r="D608" t="s">
        <v>2240</v>
      </c>
      <c r="E608" t="s">
        <v>2238</v>
      </c>
      <c r="F608">
        <v>817300</v>
      </c>
      <c r="G608" t="s">
        <v>2384</v>
      </c>
      <c r="H608">
        <v>90534</v>
      </c>
      <c r="I608">
        <v>0</v>
      </c>
      <c r="J608">
        <v>81</v>
      </c>
      <c r="K608">
        <v>37</v>
      </c>
      <c r="L608">
        <v>0</v>
      </c>
      <c r="M608">
        <v>450</v>
      </c>
      <c r="N608">
        <v>46982.94</v>
      </c>
      <c r="O608">
        <v>6897.9</v>
      </c>
      <c r="P608">
        <v>1454.9</v>
      </c>
      <c r="Q608">
        <v>35467.339999999997</v>
      </c>
      <c r="R608">
        <v>0</v>
      </c>
      <c r="S608">
        <v>900.95</v>
      </c>
      <c r="T608">
        <v>0</v>
      </c>
      <c r="U608">
        <v>0</v>
      </c>
      <c r="V608">
        <v>3329.45</v>
      </c>
      <c r="W608">
        <v>0</v>
      </c>
      <c r="X608">
        <v>31236.94</v>
      </c>
      <c r="Y608">
        <v>3162.8</v>
      </c>
      <c r="Z608">
        <v>0</v>
      </c>
      <c r="AA608">
        <v>0</v>
      </c>
      <c r="AB608">
        <v>1817300</v>
      </c>
      <c r="AC608" t="s">
        <v>251</v>
      </c>
    </row>
    <row r="609" spans="1:29" outlineLevel="1" x14ac:dyDescent="0.2">
      <c r="B609" s="386" t="s">
        <v>2492</v>
      </c>
      <c r="N609">
        <f>SUBTOTAL(9,N608:N608)</f>
        <v>46982.94</v>
      </c>
    </row>
    <row r="610" spans="1:29" outlineLevel="2" x14ac:dyDescent="0.2">
      <c r="A610">
        <v>506</v>
      </c>
      <c r="B610">
        <v>20153184</v>
      </c>
      <c r="C610">
        <v>201531845</v>
      </c>
      <c r="D610" t="s">
        <v>2283</v>
      </c>
      <c r="E610" t="s">
        <v>2319</v>
      </c>
      <c r="F610">
        <v>841001</v>
      </c>
      <c r="G610" t="s">
        <v>2384</v>
      </c>
      <c r="H610">
        <v>90534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4657.6899999999996</v>
      </c>
      <c r="O610">
        <v>451.75</v>
      </c>
      <c r="P610">
        <v>130.79</v>
      </c>
      <c r="Q610">
        <v>3790.85</v>
      </c>
      <c r="R610">
        <v>0</v>
      </c>
      <c r="S610">
        <v>0</v>
      </c>
      <c r="T610">
        <v>0</v>
      </c>
      <c r="U610">
        <v>0</v>
      </c>
      <c r="V610">
        <v>444.3</v>
      </c>
      <c r="W610">
        <v>0</v>
      </c>
      <c r="X610">
        <v>3346.55</v>
      </c>
      <c r="Y610">
        <v>284.3</v>
      </c>
      <c r="Z610">
        <v>0</v>
      </c>
      <c r="AA610">
        <v>0</v>
      </c>
      <c r="AB610">
        <v>1841001</v>
      </c>
      <c r="AC610" t="s">
        <v>251</v>
      </c>
    </row>
    <row r="611" spans="1:29" outlineLevel="1" x14ac:dyDescent="0.2">
      <c r="B611" s="386" t="s">
        <v>2491</v>
      </c>
      <c r="N611">
        <f>SUBTOTAL(9,N610:N610)</f>
        <v>4657.6899999999996</v>
      </c>
    </row>
    <row r="612" spans="1:29" outlineLevel="2" x14ac:dyDescent="0.2">
      <c r="A612">
        <v>506</v>
      </c>
      <c r="B612">
        <v>20332162</v>
      </c>
      <c r="C612">
        <v>203321625</v>
      </c>
      <c r="D612" t="s">
        <v>2236</v>
      </c>
      <c r="E612" t="s">
        <v>2241</v>
      </c>
      <c r="F612">
        <v>817300</v>
      </c>
      <c r="G612" t="s">
        <v>2384</v>
      </c>
      <c r="H612">
        <v>90534</v>
      </c>
      <c r="I612">
        <v>0</v>
      </c>
      <c r="J612">
        <v>81</v>
      </c>
      <c r="K612">
        <v>37</v>
      </c>
      <c r="L612">
        <v>0</v>
      </c>
      <c r="M612">
        <v>450</v>
      </c>
      <c r="N612">
        <v>43993.99</v>
      </c>
      <c r="O612">
        <v>5521.35</v>
      </c>
      <c r="P612">
        <v>1191.4000000000001</v>
      </c>
      <c r="Q612">
        <v>34691.19</v>
      </c>
      <c r="R612">
        <v>157.75</v>
      </c>
      <c r="S612">
        <v>318</v>
      </c>
      <c r="T612">
        <v>657.45</v>
      </c>
      <c r="U612">
        <v>0</v>
      </c>
      <c r="V612">
        <v>4258.25</v>
      </c>
      <c r="W612">
        <v>0</v>
      </c>
      <c r="X612">
        <v>29299.74</v>
      </c>
      <c r="Y612">
        <v>2590.0500000000002</v>
      </c>
      <c r="Z612">
        <v>0</v>
      </c>
      <c r="AA612">
        <v>0</v>
      </c>
      <c r="AB612">
        <v>1817300</v>
      </c>
      <c r="AC612" t="s">
        <v>251</v>
      </c>
    </row>
    <row r="613" spans="1:29" outlineLevel="1" x14ac:dyDescent="0.2">
      <c r="B613" s="386" t="s">
        <v>2490</v>
      </c>
      <c r="N613">
        <f>SUBTOTAL(9,N612:N612)</f>
        <v>43993.99</v>
      </c>
    </row>
    <row r="614" spans="1:29" outlineLevel="2" x14ac:dyDescent="0.2">
      <c r="A614">
        <v>506</v>
      </c>
      <c r="B614">
        <v>20363723</v>
      </c>
      <c r="C614">
        <v>203637236</v>
      </c>
      <c r="D614" t="s">
        <v>1329</v>
      </c>
      <c r="E614" t="s">
        <v>2214</v>
      </c>
      <c r="F614">
        <v>813320</v>
      </c>
      <c r="G614" t="s">
        <v>2384</v>
      </c>
      <c r="H614">
        <v>90534</v>
      </c>
      <c r="I614">
        <v>1</v>
      </c>
      <c r="J614">
        <v>0</v>
      </c>
      <c r="K614">
        <v>0</v>
      </c>
      <c r="L614">
        <v>0</v>
      </c>
      <c r="M614">
        <v>0</v>
      </c>
      <c r="N614">
        <v>43684.12</v>
      </c>
      <c r="O614">
        <v>4469.5</v>
      </c>
      <c r="P614">
        <v>1219.3699999999999</v>
      </c>
      <c r="Q614">
        <v>35344.400000000001</v>
      </c>
      <c r="R614">
        <v>0</v>
      </c>
      <c r="S614">
        <v>1171.7</v>
      </c>
      <c r="T614">
        <v>0</v>
      </c>
      <c r="U614">
        <v>0</v>
      </c>
      <c r="V614">
        <v>2236.1999999999998</v>
      </c>
      <c r="W614">
        <v>0</v>
      </c>
      <c r="X614">
        <v>31936.5</v>
      </c>
      <c r="Y614">
        <v>2650.85</v>
      </c>
      <c r="Z614">
        <v>0</v>
      </c>
      <c r="AA614">
        <v>0</v>
      </c>
      <c r="AB614">
        <v>1813320</v>
      </c>
      <c r="AC614" t="s">
        <v>251</v>
      </c>
    </row>
    <row r="615" spans="1:29" outlineLevel="1" x14ac:dyDescent="0.2">
      <c r="B615" s="386" t="s">
        <v>2489</v>
      </c>
      <c r="N615">
        <f>SUBTOTAL(9,N614:N614)</f>
        <v>43684.12</v>
      </c>
    </row>
    <row r="616" spans="1:29" outlineLevel="2" x14ac:dyDescent="0.2">
      <c r="A616">
        <v>506</v>
      </c>
      <c r="B616">
        <v>20376309</v>
      </c>
      <c r="C616">
        <v>203763099</v>
      </c>
      <c r="D616" t="s">
        <v>2131</v>
      </c>
      <c r="E616" t="s">
        <v>2158</v>
      </c>
      <c r="F616">
        <v>812502</v>
      </c>
      <c r="G616" t="s">
        <v>2384</v>
      </c>
      <c r="H616">
        <v>90534</v>
      </c>
      <c r="I616">
        <v>1</v>
      </c>
      <c r="J616">
        <v>0</v>
      </c>
      <c r="K616">
        <v>0</v>
      </c>
      <c r="L616">
        <v>0</v>
      </c>
      <c r="M616">
        <v>0</v>
      </c>
      <c r="N616">
        <v>730.15</v>
      </c>
      <c r="O616">
        <v>0</v>
      </c>
      <c r="P616">
        <v>22.7</v>
      </c>
      <c r="Q616">
        <v>658.1</v>
      </c>
      <c r="R616">
        <v>0</v>
      </c>
      <c r="S616">
        <v>0</v>
      </c>
      <c r="T616">
        <v>0</v>
      </c>
      <c r="U616">
        <v>0</v>
      </c>
      <c r="V616">
        <v>174.25</v>
      </c>
      <c r="W616">
        <v>0</v>
      </c>
      <c r="X616">
        <v>483.85</v>
      </c>
      <c r="Y616">
        <v>49.35</v>
      </c>
      <c r="Z616">
        <v>0</v>
      </c>
      <c r="AA616">
        <v>0</v>
      </c>
      <c r="AB616">
        <v>1812502</v>
      </c>
      <c r="AC616" t="s">
        <v>251</v>
      </c>
    </row>
    <row r="617" spans="1:29" outlineLevel="1" x14ac:dyDescent="0.2">
      <c r="B617" s="386" t="s">
        <v>2488</v>
      </c>
      <c r="N617">
        <f>SUBTOTAL(9,N616:N616)</f>
        <v>730.15</v>
      </c>
    </row>
    <row r="618" spans="1:29" outlineLevel="2" x14ac:dyDescent="0.2">
      <c r="A618">
        <v>506</v>
      </c>
      <c r="B618">
        <v>20376327</v>
      </c>
      <c r="C618">
        <v>203763271</v>
      </c>
      <c r="D618" t="s">
        <v>2157</v>
      </c>
      <c r="E618" t="s">
        <v>2266</v>
      </c>
      <c r="F618">
        <v>812502</v>
      </c>
      <c r="G618" t="s">
        <v>2384</v>
      </c>
      <c r="H618">
        <v>90534</v>
      </c>
      <c r="I618">
        <v>1</v>
      </c>
      <c r="J618">
        <v>0</v>
      </c>
      <c r="K618">
        <v>0</v>
      </c>
      <c r="L618">
        <v>0</v>
      </c>
      <c r="M618">
        <v>0</v>
      </c>
      <c r="N618">
        <v>16402.82</v>
      </c>
      <c r="O618">
        <v>1719.9</v>
      </c>
      <c r="P618">
        <v>456.57</v>
      </c>
      <c r="Q618">
        <v>13233.8</v>
      </c>
      <c r="R618">
        <v>0</v>
      </c>
      <c r="S618">
        <v>0</v>
      </c>
      <c r="T618">
        <v>0</v>
      </c>
      <c r="U618">
        <v>0</v>
      </c>
      <c r="V618">
        <v>493.8</v>
      </c>
      <c r="W618">
        <v>0</v>
      </c>
      <c r="X618">
        <v>12740</v>
      </c>
      <c r="Y618">
        <v>992.55</v>
      </c>
      <c r="Z618">
        <v>0</v>
      </c>
      <c r="AA618">
        <v>0</v>
      </c>
      <c r="AB618">
        <v>1812502</v>
      </c>
      <c r="AC618" t="s">
        <v>251</v>
      </c>
    </row>
    <row r="619" spans="1:29" outlineLevel="1" x14ac:dyDescent="0.2">
      <c r="B619" s="386" t="s">
        <v>2487</v>
      </c>
      <c r="N619">
        <f>SUBTOTAL(9,N618:N618)</f>
        <v>16402.82</v>
      </c>
    </row>
    <row r="620" spans="1:29" outlineLevel="2" x14ac:dyDescent="0.2">
      <c r="A620">
        <v>506</v>
      </c>
      <c r="B620">
        <v>20412261</v>
      </c>
      <c r="C620">
        <v>204122618</v>
      </c>
      <c r="D620" t="s">
        <v>1419</v>
      </c>
      <c r="E620" t="s">
        <v>2161</v>
      </c>
      <c r="F620">
        <v>812513</v>
      </c>
      <c r="G620" t="s">
        <v>2384</v>
      </c>
      <c r="H620">
        <v>90534</v>
      </c>
      <c r="I620">
        <v>1</v>
      </c>
      <c r="J620">
        <v>0</v>
      </c>
      <c r="K620">
        <v>0</v>
      </c>
      <c r="L620">
        <v>0</v>
      </c>
      <c r="M620">
        <v>0</v>
      </c>
      <c r="N620">
        <v>26724.34</v>
      </c>
      <c r="O620">
        <v>2738.25</v>
      </c>
      <c r="P620">
        <v>745.84</v>
      </c>
      <c r="Q620">
        <v>21618.799999999999</v>
      </c>
      <c r="R620">
        <v>0</v>
      </c>
      <c r="S620">
        <v>0</v>
      </c>
      <c r="T620">
        <v>0</v>
      </c>
      <c r="U620">
        <v>0</v>
      </c>
      <c r="V620">
        <v>1336.1</v>
      </c>
      <c r="W620">
        <v>0</v>
      </c>
      <c r="X620">
        <v>20282.7</v>
      </c>
      <c r="Y620">
        <v>1621.45</v>
      </c>
      <c r="Z620">
        <v>0</v>
      </c>
      <c r="AA620">
        <v>0</v>
      </c>
      <c r="AB620">
        <v>1812513</v>
      </c>
      <c r="AC620" t="s">
        <v>251</v>
      </c>
    </row>
    <row r="621" spans="1:29" outlineLevel="1" x14ac:dyDescent="0.2">
      <c r="B621" s="386" t="s">
        <v>2486</v>
      </c>
      <c r="N621">
        <f>SUBTOTAL(9,N620:N620)</f>
        <v>26724.34</v>
      </c>
    </row>
    <row r="622" spans="1:29" outlineLevel="2" x14ac:dyDescent="0.2">
      <c r="A622">
        <v>506</v>
      </c>
      <c r="B622">
        <v>20416636</v>
      </c>
      <c r="C622">
        <v>204166367</v>
      </c>
      <c r="D622" t="s">
        <v>2411</v>
      </c>
      <c r="E622" t="s">
        <v>2412</v>
      </c>
      <c r="F622">
        <v>815200</v>
      </c>
      <c r="G622" t="s">
        <v>2384</v>
      </c>
      <c r="H622">
        <v>90534</v>
      </c>
      <c r="I622">
        <v>0</v>
      </c>
      <c r="J622">
        <v>93</v>
      </c>
      <c r="K622">
        <v>2</v>
      </c>
      <c r="L622">
        <v>0</v>
      </c>
      <c r="M622">
        <v>529.6</v>
      </c>
      <c r="N622">
        <v>48942.57</v>
      </c>
      <c r="O622">
        <v>5127.6499999999996</v>
      </c>
      <c r="P622">
        <v>1521.86</v>
      </c>
      <c r="Q622">
        <v>38984.660000000003</v>
      </c>
      <c r="R622">
        <v>0</v>
      </c>
      <c r="S622">
        <v>1964.8</v>
      </c>
      <c r="T622">
        <v>6644.8</v>
      </c>
      <c r="U622">
        <v>0</v>
      </c>
      <c r="V622">
        <v>751</v>
      </c>
      <c r="W622">
        <v>0</v>
      </c>
      <c r="X622">
        <v>29624.06</v>
      </c>
      <c r="Y622">
        <v>3308.4</v>
      </c>
      <c r="Z622">
        <v>0</v>
      </c>
      <c r="AA622">
        <v>0</v>
      </c>
      <c r="AB622">
        <v>1815200</v>
      </c>
      <c r="AC622" t="s">
        <v>251</v>
      </c>
    </row>
    <row r="623" spans="1:29" outlineLevel="1" x14ac:dyDescent="0.2">
      <c r="B623" s="386" t="s">
        <v>2485</v>
      </c>
      <c r="N623">
        <f>SUBTOTAL(9,N622:N622)</f>
        <v>48942.57</v>
      </c>
    </row>
    <row r="624" spans="1:29" outlineLevel="2" x14ac:dyDescent="0.2">
      <c r="A624">
        <v>506</v>
      </c>
      <c r="B624">
        <v>20438475</v>
      </c>
      <c r="C624">
        <v>204384754</v>
      </c>
      <c r="D624" t="s">
        <v>2173</v>
      </c>
      <c r="E624" t="s">
        <v>2413</v>
      </c>
      <c r="F624">
        <v>815200</v>
      </c>
      <c r="G624" t="s">
        <v>2384</v>
      </c>
      <c r="H624">
        <v>90534</v>
      </c>
      <c r="I624">
        <v>0</v>
      </c>
      <c r="J624">
        <v>73</v>
      </c>
      <c r="K624">
        <v>3</v>
      </c>
      <c r="L624">
        <v>0</v>
      </c>
      <c r="M624">
        <v>129.6</v>
      </c>
      <c r="N624">
        <v>8818.48</v>
      </c>
      <c r="O624">
        <v>909.55</v>
      </c>
      <c r="P624">
        <v>245.91</v>
      </c>
      <c r="Q624">
        <v>7128.37</v>
      </c>
      <c r="R624">
        <v>0</v>
      </c>
      <c r="S624">
        <v>0</v>
      </c>
      <c r="T624">
        <v>244.2</v>
      </c>
      <c r="U624">
        <v>0</v>
      </c>
      <c r="V624">
        <v>392</v>
      </c>
      <c r="W624">
        <v>0</v>
      </c>
      <c r="X624">
        <v>6492.17</v>
      </c>
      <c r="Y624">
        <v>534.65</v>
      </c>
      <c r="Z624">
        <v>0</v>
      </c>
      <c r="AA624">
        <v>0</v>
      </c>
      <c r="AB624">
        <v>1815200</v>
      </c>
      <c r="AC624" t="s">
        <v>251</v>
      </c>
    </row>
    <row r="625" spans="1:29" outlineLevel="1" x14ac:dyDescent="0.2">
      <c r="B625" s="386" t="s">
        <v>2484</v>
      </c>
      <c r="N625">
        <f>SUBTOTAL(9,N624:N624)</f>
        <v>8818.48</v>
      </c>
    </row>
    <row r="626" spans="1:29" outlineLevel="2" x14ac:dyDescent="0.2">
      <c r="A626">
        <v>506</v>
      </c>
      <c r="B626">
        <v>20439570</v>
      </c>
      <c r="C626">
        <v>204395701</v>
      </c>
      <c r="D626" t="s">
        <v>2131</v>
      </c>
      <c r="E626" t="s">
        <v>1118</v>
      </c>
      <c r="F626">
        <v>815200</v>
      </c>
      <c r="G626" t="s">
        <v>2384</v>
      </c>
      <c r="H626">
        <v>90534</v>
      </c>
      <c r="I626">
        <v>0</v>
      </c>
      <c r="J626">
        <v>93</v>
      </c>
      <c r="K626">
        <v>2</v>
      </c>
      <c r="L626">
        <v>0</v>
      </c>
      <c r="M626">
        <v>529.6</v>
      </c>
      <c r="N626">
        <v>44138.98</v>
      </c>
      <c r="O626">
        <v>4638.08</v>
      </c>
      <c r="P626">
        <v>1360.3</v>
      </c>
      <c r="Q626">
        <v>35479.599999999999</v>
      </c>
      <c r="R626">
        <v>0</v>
      </c>
      <c r="S626">
        <v>2006.35</v>
      </c>
      <c r="T626">
        <v>7488.05</v>
      </c>
      <c r="U626">
        <v>0</v>
      </c>
      <c r="V626">
        <v>838.15</v>
      </c>
      <c r="W626">
        <v>0</v>
      </c>
      <c r="X626">
        <v>25147.05</v>
      </c>
      <c r="Y626">
        <v>2661</v>
      </c>
      <c r="Z626">
        <v>0</v>
      </c>
      <c r="AA626">
        <v>0</v>
      </c>
      <c r="AB626">
        <v>1815200</v>
      </c>
      <c r="AC626" t="s">
        <v>251</v>
      </c>
    </row>
    <row r="627" spans="1:29" outlineLevel="2" x14ac:dyDescent="0.2">
      <c r="A627">
        <v>506</v>
      </c>
      <c r="B627">
        <v>20439570</v>
      </c>
      <c r="C627">
        <v>204395701</v>
      </c>
      <c r="D627" t="s">
        <v>2131</v>
      </c>
      <c r="E627" t="s">
        <v>1118</v>
      </c>
      <c r="F627">
        <v>817120</v>
      </c>
      <c r="G627" t="s">
        <v>2384</v>
      </c>
      <c r="H627">
        <v>90534</v>
      </c>
      <c r="I627">
        <v>1</v>
      </c>
      <c r="J627">
        <v>0</v>
      </c>
      <c r="K627">
        <v>0</v>
      </c>
      <c r="L627">
        <v>0</v>
      </c>
      <c r="M627">
        <v>0</v>
      </c>
      <c r="N627">
        <v>1587.62</v>
      </c>
      <c r="O627">
        <v>172.12</v>
      </c>
      <c r="P627">
        <v>44.88</v>
      </c>
      <c r="Q627">
        <v>1275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1275</v>
      </c>
      <c r="Y627">
        <v>95.62</v>
      </c>
      <c r="Z627">
        <v>0</v>
      </c>
      <c r="AA627">
        <v>0</v>
      </c>
      <c r="AB627">
        <v>1817120</v>
      </c>
      <c r="AC627" t="s">
        <v>251</v>
      </c>
    </row>
    <row r="628" spans="1:29" outlineLevel="2" x14ac:dyDescent="0.2">
      <c r="A628">
        <v>506</v>
      </c>
      <c r="B628">
        <v>20439570</v>
      </c>
      <c r="C628">
        <v>204395701</v>
      </c>
      <c r="D628" t="s">
        <v>2131</v>
      </c>
      <c r="E628" t="s">
        <v>1118</v>
      </c>
      <c r="F628">
        <v>817800</v>
      </c>
      <c r="G628" t="s">
        <v>2384</v>
      </c>
      <c r="H628">
        <v>90534</v>
      </c>
      <c r="I628">
        <v>1</v>
      </c>
      <c r="J628">
        <v>0</v>
      </c>
      <c r="K628">
        <v>0</v>
      </c>
      <c r="L628">
        <v>0</v>
      </c>
      <c r="M628">
        <v>0</v>
      </c>
      <c r="N628">
        <v>6712.9</v>
      </c>
      <c r="O628">
        <v>718.2</v>
      </c>
      <c r="P628">
        <v>275.72000000000003</v>
      </c>
      <c r="Q628">
        <v>5320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5320</v>
      </c>
      <c r="Y628">
        <v>398.98</v>
      </c>
      <c r="Z628">
        <v>0</v>
      </c>
      <c r="AA628">
        <v>0</v>
      </c>
      <c r="AB628">
        <v>1817800</v>
      </c>
      <c r="AC628" t="s">
        <v>251</v>
      </c>
    </row>
    <row r="629" spans="1:29" outlineLevel="1" x14ac:dyDescent="0.2">
      <c r="B629" s="386" t="s">
        <v>2483</v>
      </c>
      <c r="N629">
        <f>SUBTOTAL(9,N626:N628)</f>
        <v>52439.500000000007</v>
      </c>
    </row>
    <row r="630" spans="1:29" outlineLevel="2" x14ac:dyDescent="0.2">
      <c r="A630">
        <v>506</v>
      </c>
      <c r="B630">
        <v>20440824</v>
      </c>
      <c r="C630">
        <v>204408249</v>
      </c>
      <c r="D630" t="s">
        <v>2114</v>
      </c>
      <c r="E630" t="s">
        <v>2133</v>
      </c>
      <c r="F630">
        <v>812201</v>
      </c>
      <c r="G630" t="s">
        <v>2384</v>
      </c>
      <c r="H630">
        <v>90534</v>
      </c>
      <c r="I630">
        <v>1</v>
      </c>
      <c r="J630">
        <v>0</v>
      </c>
      <c r="K630">
        <v>0</v>
      </c>
      <c r="L630">
        <v>0</v>
      </c>
      <c r="M630">
        <v>0</v>
      </c>
      <c r="N630">
        <v>1045.23</v>
      </c>
      <c r="O630">
        <v>105.2</v>
      </c>
      <c r="P630">
        <v>29.23</v>
      </c>
      <c r="Q630">
        <v>847.25</v>
      </c>
      <c r="R630">
        <v>0</v>
      </c>
      <c r="S630">
        <v>0</v>
      </c>
      <c r="T630">
        <v>0</v>
      </c>
      <c r="U630">
        <v>0</v>
      </c>
      <c r="V630">
        <v>67.75</v>
      </c>
      <c r="W630">
        <v>0</v>
      </c>
      <c r="X630">
        <v>779.5</v>
      </c>
      <c r="Y630">
        <v>63.55</v>
      </c>
      <c r="Z630">
        <v>0</v>
      </c>
      <c r="AA630">
        <v>0</v>
      </c>
      <c r="AB630">
        <v>1812201</v>
      </c>
      <c r="AC630" t="s">
        <v>251</v>
      </c>
    </row>
    <row r="631" spans="1:29" outlineLevel="2" x14ac:dyDescent="0.2">
      <c r="A631">
        <v>506</v>
      </c>
      <c r="B631">
        <v>20440824</v>
      </c>
      <c r="C631">
        <v>204408249</v>
      </c>
      <c r="D631" t="s">
        <v>2114</v>
      </c>
      <c r="E631" t="s">
        <v>2133</v>
      </c>
      <c r="F631">
        <v>817600</v>
      </c>
      <c r="G631" t="s">
        <v>2384</v>
      </c>
      <c r="H631">
        <v>90534</v>
      </c>
      <c r="I631">
        <v>1</v>
      </c>
      <c r="J631">
        <v>0</v>
      </c>
      <c r="K631">
        <v>0</v>
      </c>
      <c r="L631">
        <v>0</v>
      </c>
      <c r="M631">
        <v>0</v>
      </c>
      <c r="N631">
        <v>30869.89</v>
      </c>
      <c r="O631">
        <v>3188.4</v>
      </c>
      <c r="P631">
        <v>867.09</v>
      </c>
      <c r="Q631">
        <v>24943.599999999999</v>
      </c>
      <c r="R631">
        <v>0</v>
      </c>
      <c r="S631">
        <v>2716.25</v>
      </c>
      <c r="T631">
        <v>0</v>
      </c>
      <c r="U631">
        <v>0</v>
      </c>
      <c r="V631">
        <v>1326.35</v>
      </c>
      <c r="W631">
        <v>0</v>
      </c>
      <c r="X631">
        <v>20901</v>
      </c>
      <c r="Y631">
        <v>1870.8</v>
      </c>
      <c r="Z631">
        <v>0</v>
      </c>
      <c r="AA631">
        <v>0</v>
      </c>
      <c r="AB631">
        <v>1817600</v>
      </c>
      <c r="AC631" t="s">
        <v>251</v>
      </c>
    </row>
    <row r="632" spans="1:29" outlineLevel="1" x14ac:dyDescent="0.2">
      <c r="B632" s="386" t="s">
        <v>2482</v>
      </c>
      <c r="N632">
        <f>SUBTOTAL(9,N630:N631)</f>
        <v>31915.119999999999</v>
      </c>
    </row>
    <row r="633" spans="1:29" outlineLevel="2" x14ac:dyDescent="0.2">
      <c r="A633">
        <v>506</v>
      </c>
      <c r="B633">
        <v>20467774</v>
      </c>
      <c r="C633">
        <v>204677744</v>
      </c>
      <c r="D633" t="s">
        <v>2173</v>
      </c>
      <c r="E633" t="s">
        <v>2414</v>
      </c>
      <c r="F633">
        <v>815200</v>
      </c>
      <c r="G633" t="s">
        <v>2384</v>
      </c>
      <c r="H633">
        <v>90534</v>
      </c>
      <c r="I633">
        <v>0</v>
      </c>
      <c r="J633">
        <v>73</v>
      </c>
      <c r="K633">
        <v>3</v>
      </c>
      <c r="L633">
        <v>0</v>
      </c>
      <c r="M633">
        <v>129.6</v>
      </c>
      <c r="N633">
        <v>9678.4500000000007</v>
      </c>
      <c r="O633">
        <v>990.25</v>
      </c>
      <c r="P633">
        <v>300.95999999999998</v>
      </c>
      <c r="Q633">
        <v>7733.04</v>
      </c>
      <c r="R633">
        <v>0</v>
      </c>
      <c r="S633">
        <v>427.4</v>
      </c>
      <c r="T633">
        <v>255.8</v>
      </c>
      <c r="U633">
        <v>0</v>
      </c>
      <c r="V633">
        <v>314.5</v>
      </c>
      <c r="W633">
        <v>0</v>
      </c>
      <c r="X633">
        <v>6735.34</v>
      </c>
      <c r="Y633">
        <v>654.20000000000005</v>
      </c>
      <c r="Z633">
        <v>0</v>
      </c>
      <c r="AA633">
        <v>0</v>
      </c>
      <c r="AB633">
        <v>1815200</v>
      </c>
      <c r="AC633" t="s">
        <v>251</v>
      </c>
    </row>
    <row r="634" spans="1:29" outlineLevel="1" x14ac:dyDescent="0.2">
      <c r="B634" s="386" t="s">
        <v>2481</v>
      </c>
      <c r="N634">
        <f>SUBTOTAL(9,N633:N633)</f>
        <v>9678.4500000000007</v>
      </c>
    </row>
    <row r="635" spans="1:29" outlineLevel="2" x14ac:dyDescent="0.2">
      <c r="A635">
        <v>506</v>
      </c>
      <c r="B635">
        <v>20571566</v>
      </c>
      <c r="C635">
        <v>205715667</v>
      </c>
      <c r="D635" t="s">
        <v>2111</v>
      </c>
      <c r="E635" t="s">
        <v>2364</v>
      </c>
      <c r="F635">
        <v>817800</v>
      </c>
      <c r="G635" t="s">
        <v>2384</v>
      </c>
      <c r="H635">
        <v>90534</v>
      </c>
      <c r="I635">
        <v>1</v>
      </c>
      <c r="J635">
        <v>0</v>
      </c>
      <c r="K635">
        <v>0</v>
      </c>
      <c r="L635">
        <v>0</v>
      </c>
      <c r="M635">
        <v>0</v>
      </c>
      <c r="N635">
        <v>6838.58</v>
      </c>
      <c r="O635">
        <v>741.85</v>
      </c>
      <c r="P635">
        <v>189.58</v>
      </c>
      <c r="Q635">
        <v>5495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5495</v>
      </c>
      <c r="Y635">
        <v>412.15</v>
      </c>
      <c r="Z635">
        <v>0</v>
      </c>
      <c r="AA635">
        <v>0</v>
      </c>
      <c r="AB635">
        <v>1817800</v>
      </c>
      <c r="AC635" t="s">
        <v>251</v>
      </c>
    </row>
    <row r="636" spans="1:29" outlineLevel="1" x14ac:dyDescent="0.2">
      <c r="B636" s="386" t="s">
        <v>2480</v>
      </c>
      <c r="N636">
        <f>SUBTOTAL(9,N635:N635)</f>
        <v>6838.58</v>
      </c>
    </row>
    <row r="637" spans="1:29" outlineLevel="2" x14ac:dyDescent="0.2">
      <c r="A637">
        <v>506</v>
      </c>
      <c r="B637">
        <v>20579819</v>
      </c>
      <c r="C637">
        <v>205798192</v>
      </c>
      <c r="D637" t="s">
        <v>2192</v>
      </c>
      <c r="E637" t="s">
        <v>2158</v>
      </c>
      <c r="F637">
        <v>813202</v>
      </c>
      <c r="G637" t="s">
        <v>2384</v>
      </c>
      <c r="H637">
        <v>90534</v>
      </c>
      <c r="I637">
        <v>0</v>
      </c>
      <c r="J637">
        <v>5</v>
      </c>
      <c r="K637">
        <v>4</v>
      </c>
      <c r="L637">
        <v>0</v>
      </c>
      <c r="M637">
        <v>450</v>
      </c>
      <c r="N637">
        <v>52379.17</v>
      </c>
      <c r="O637">
        <v>7406.55</v>
      </c>
      <c r="P637">
        <v>1499.78</v>
      </c>
      <c r="Q637">
        <v>40439.839999999997</v>
      </c>
      <c r="R637">
        <v>0</v>
      </c>
      <c r="S637">
        <v>3195.6</v>
      </c>
      <c r="T637">
        <v>0</v>
      </c>
      <c r="U637">
        <v>0</v>
      </c>
      <c r="V637">
        <v>1339.5</v>
      </c>
      <c r="W637">
        <v>0</v>
      </c>
      <c r="X637">
        <v>35904.74</v>
      </c>
      <c r="Y637">
        <v>3033</v>
      </c>
      <c r="Z637">
        <v>0</v>
      </c>
      <c r="AA637">
        <v>0</v>
      </c>
      <c r="AB637">
        <v>1813202</v>
      </c>
      <c r="AC637" t="s">
        <v>251</v>
      </c>
    </row>
    <row r="638" spans="1:29" outlineLevel="1" x14ac:dyDescent="0.2">
      <c r="B638" s="386" t="s">
        <v>2479</v>
      </c>
      <c r="N638">
        <f>SUBTOTAL(9,N637:N637)</f>
        <v>52379.17</v>
      </c>
    </row>
    <row r="639" spans="1:29" outlineLevel="2" x14ac:dyDescent="0.2">
      <c r="A639">
        <v>506</v>
      </c>
      <c r="B639">
        <v>20581909</v>
      </c>
      <c r="C639">
        <v>205819097</v>
      </c>
      <c r="D639" t="s">
        <v>2134</v>
      </c>
      <c r="E639" t="s">
        <v>2135</v>
      </c>
      <c r="F639">
        <v>812201</v>
      </c>
      <c r="G639" t="s">
        <v>2384</v>
      </c>
      <c r="H639">
        <v>90534</v>
      </c>
      <c r="I639">
        <v>1</v>
      </c>
      <c r="J639">
        <v>0</v>
      </c>
      <c r="K639">
        <v>0</v>
      </c>
      <c r="L639">
        <v>0</v>
      </c>
      <c r="M639">
        <v>0</v>
      </c>
      <c r="N639">
        <v>34376</v>
      </c>
      <c r="O639">
        <v>3558.8</v>
      </c>
      <c r="P639">
        <v>958.25</v>
      </c>
      <c r="Q639">
        <v>27775.8</v>
      </c>
      <c r="R639">
        <v>0</v>
      </c>
      <c r="S639">
        <v>2609.75</v>
      </c>
      <c r="T639">
        <v>0</v>
      </c>
      <c r="U639">
        <v>0</v>
      </c>
      <c r="V639">
        <v>1074.6500000000001</v>
      </c>
      <c r="W639">
        <v>0</v>
      </c>
      <c r="X639">
        <v>24091.4</v>
      </c>
      <c r="Y639">
        <v>2083.15</v>
      </c>
      <c r="Z639">
        <v>0</v>
      </c>
      <c r="AA639">
        <v>0</v>
      </c>
      <c r="AB639">
        <v>1812201</v>
      </c>
      <c r="AC639" t="s">
        <v>251</v>
      </c>
    </row>
    <row r="640" spans="1:29" outlineLevel="1" x14ac:dyDescent="0.2">
      <c r="B640" s="386" t="s">
        <v>2478</v>
      </c>
      <c r="N640">
        <f>SUBTOTAL(9,N639:N639)</f>
        <v>34376</v>
      </c>
    </row>
    <row r="641" spans="1:29" outlineLevel="2" x14ac:dyDescent="0.2">
      <c r="A641">
        <v>506</v>
      </c>
      <c r="B641">
        <v>30017481</v>
      </c>
      <c r="C641">
        <v>300174810</v>
      </c>
      <c r="D641" t="s">
        <v>1451</v>
      </c>
      <c r="E641" t="s">
        <v>2136</v>
      </c>
      <c r="F641">
        <v>812201</v>
      </c>
      <c r="G641" t="s">
        <v>2384</v>
      </c>
      <c r="H641">
        <v>90534</v>
      </c>
      <c r="I641">
        <v>1</v>
      </c>
      <c r="J641">
        <v>0</v>
      </c>
      <c r="K641">
        <v>0</v>
      </c>
      <c r="L641">
        <v>0</v>
      </c>
      <c r="M641">
        <v>0</v>
      </c>
      <c r="N641">
        <v>23075.57</v>
      </c>
      <c r="O641">
        <v>1971.95</v>
      </c>
      <c r="P641">
        <v>656.22</v>
      </c>
      <c r="Q641">
        <v>19020.8</v>
      </c>
      <c r="R641">
        <v>0</v>
      </c>
      <c r="S641">
        <v>1810.85</v>
      </c>
      <c r="T641">
        <v>0</v>
      </c>
      <c r="U641">
        <v>0</v>
      </c>
      <c r="V641">
        <v>1210.25</v>
      </c>
      <c r="W641">
        <v>0</v>
      </c>
      <c r="X641">
        <v>15999.7</v>
      </c>
      <c r="Y641">
        <v>1426.6</v>
      </c>
      <c r="Z641">
        <v>0</v>
      </c>
      <c r="AA641">
        <v>0</v>
      </c>
      <c r="AB641">
        <v>1812201</v>
      </c>
      <c r="AC641" t="s">
        <v>251</v>
      </c>
    </row>
    <row r="642" spans="1:29" outlineLevel="1" x14ac:dyDescent="0.2">
      <c r="B642" s="386" t="s">
        <v>2477</v>
      </c>
      <c r="N642">
        <f>SUBTOTAL(9,N641:N641)</f>
        <v>23075.57</v>
      </c>
    </row>
    <row r="643" spans="1:29" outlineLevel="2" x14ac:dyDescent="0.2">
      <c r="A643">
        <v>506</v>
      </c>
      <c r="B643">
        <v>30018623</v>
      </c>
      <c r="C643">
        <v>300186236</v>
      </c>
      <c r="D643" t="s">
        <v>2411</v>
      </c>
      <c r="E643" t="s">
        <v>959</v>
      </c>
      <c r="F643">
        <v>913000</v>
      </c>
      <c r="G643" t="s">
        <v>2384</v>
      </c>
      <c r="H643">
        <v>90534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51363.67</v>
      </c>
      <c r="O643">
        <v>6354.7</v>
      </c>
      <c r="P643">
        <v>1119.3699999999999</v>
      </c>
      <c r="Q643">
        <v>32011.55</v>
      </c>
      <c r="R643">
        <v>0</v>
      </c>
      <c r="S643">
        <v>6669.55</v>
      </c>
      <c r="T643">
        <v>0</v>
      </c>
      <c r="U643">
        <v>0</v>
      </c>
      <c r="V643">
        <v>871.4</v>
      </c>
      <c r="W643">
        <v>0</v>
      </c>
      <c r="X643">
        <v>24470.6</v>
      </c>
      <c r="Y643">
        <v>3062.05</v>
      </c>
      <c r="Z643">
        <v>0</v>
      </c>
      <c r="AA643">
        <v>0</v>
      </c>
      <c r="AB643">
        <v>1913000</v>
      </c>
      <c r="AC643" t="s">
        <v>251</v>
      </c>
    </row>
    <row r="644" spans="1:29" outlineLevel="1" x14ac:dyDescent="0.2">
      <c r="B644" s="386" t="s">
        <v>2476</v>
      </c>
      <c r="N644">
        <f>SUBTOTAL(9,N643:N643)</f>
        <v>51363.67</v>
      </c>
    </row>
    <row r="645" spans="1:29" outlineLevel="2" x14ac:dyDescent="0.2">
      <c r="A645">
        <v>506</v>
      </c>
      <c r="B645">
        <v>30048390</v>
      </c>
      <c r="C645">
        <v>300483906</v>
      </c>
      <c r="D645" t="s">
        <v>2112</v>
      </c>
      <c r="E645" t="s">
        <v>2314</v>
      </c>
      <c r="F645">
        <v>812512</v>
      </c>
      <c r="G645" t="s">
        <v>2384</v>
      </c>
      <c r="H645">
        <v>90534</v>
      </c>
      <c r="I645">
        <v>1</v>
      </c>
      <c r="J645">
        <v>0</v>
      </c>
      <c r="K645">
        <v>0</v>
      </c>
      <c r="L645">
        <v>0</v>
      </c>
      <c r="M645">
        <v>0</v>
      </c>
      <c r="N645">
        <v>511.32</v>
      </c>
      <c r="O645">
        <v>50.8</v>
      </c>
      <c r="P645">
        <v>14.32</v>
      </c>
      <c r="Q645">
        <v>415.05</v>
      </c>
      <c r="R645">
        <v>0</v>
      </c>
      <c r="S645">
        <v>0</v>
      </c>
      <c r="T645">
        <v>0</v>
      </c>
      <c r="U645">
        <v>0</v>
      </c>
      <c r="V645">
        <v>38.75</v>
      </c>
      <c r="W645">
        <v>0</v>
      </c>
      <c r="X645">
        <v>376.3</v>
      </c>
      <c r="Y645">
        <v>31.15</v>
      </c>
      <c r="Z645">
        <v>0</v>
      </c>
      <c r="AA645">
        <v>0</v>
      </c>
      <c r="AB645">
        <v>1812512</v>
      </c>
      <c r="AC645" t="s">
        <v>251</v>
      </c>
    </row>
    <row r="646" spans="1:29" outlineLevel="2" x14ac:dyDescent="0.2">
      <c r="A646">
        <v>506</v>
      </c>
      <c r="B646">
        <v>30048390</v>
      </c>
      <c r="C646">
        <v>300483906</v>
      </c>
      <c r="D646" t="s">
        <v>2112</v>
      </c>
      <c r="E646" t="s">
        <v>2314</v>
      </c>
      <c r="F646">
        <v>817800</v>
      </c>
      <c r="G646" t="s">
        <v>2384</v>
      </c>
      <c r="H646">
        <v>90534</v>
      </c>
      <c r="I646">
        <v>1</v>
      </c>
      <c r="J646">
        <v>0</v>
      </c>
      <c r="K646">
        <v>0</v>
      </c>
      <c r="L646">
        <v>0</v>
      </c>
      <c r="M646">
        <v>0</v>
      </c>
      <c r="N646">
        <v>14097.35</v>
      </c>
      <c r="O646">
        <v>1507.1</v>
      </c>
      <c r="P646">
        <v>391.5</v>
      </c>
      <c r="Q646">
        <v>11347.65</v>
      </c>
      <c r="R646">
        <v>0</v>
      </c>
      <c r="S646">
        <v>0</v>
      </c>
      <c r="T646">
        <v>0</v>
      </c>
      <c r="U646">
        <v>0</v>
      </c>
      <c r="V646">
        <v>183.95</v>
      </c>
      <c r="W646">
        <v>0</v>
      </c>
      <c r="X646">
        <v>11163.7</v>
      </c>
      <c r="Y646">
        <v>851.1</v>
      </c>
      <c r="Z646">
        <v>0</v>
      </c>
      <c r="AA646">
        <v>0</v>
      </c>
      <c r="AB646">
        <v>1817800</v>
      </c>
      <c r="AC646" t="s">
        <v>251</v>
      </c>
    </row>
    <row r="647" spans="1:29" outlineLevel="1" x14ac:dyDescent="0.2">
      <c r="B647" s="386" t="s">
        <v>2475</v>
      </c>
      <c r="N647">
        <f>SUBTOTAL(9,N645:N646)</f>
        <v>14608.67</v>
      </c>
    </row>
    <row r="648" spans="1:29" outlineLevel="2" x14ac:dyDescent="0.2">
      <c r="A648">
        <v>506</v>
      </c>
      <c r="B648">
        <v>30083634</v>
      </c>
      <c r="C648">
        <v>300836343</v>
      </c>
      <c r="D648" t="s">
        <v>2420</v>
      </c>
      <c r="E648" t="s">
        <v>2421</v>
      </c>
      <c r="F648">
        <v>817300</v>
      </c>
      <c r="G648" t="s">
        <v>2384</v>
      </c>
      <c r="H648">
        <v>90534</v>
      </c>
      <c r="I648">
        <v>0</v>
      </c>
      <c r="J648">
        <v>81</v>
      </c>
      <c r="K648">
        <v>38</v>
      </c>
      <c r="L648">
        <v>0</v>
      </c>
      <c r="M648">
        <v>300</v>
      </c>
      <c r="N648">
        <v>28128.35</v>
      </c>
      <c r="O648">
        <v>3423.3</v>
      </c>
      <c r="P648">
        <v>871.46</v>
      </c>
      <c r="Q648">
        <v>21939.09</v>
      </c>
      <c r="R648">
        <v>0</v>
      </c>
      <c r="S648">
        <v>318</v>
      </c>
      <c r="T648">
        <v>473.4</v>
      </c>
      <c r="U648">
        <v>0</v>
      </c>
      <c r="V648">
        <v>1327.65</v>
      </c>
      <c r="W648">
        <v>0</v>
      </c>
      <c r="X648">
        <v>19820.04</v>
      </c>
      <c r="Y648">
        <v>1894.5</v>
      </c>
      <c r="Z648">
        <v>0</v>
      </c>
      <c r="AA648">
        <v>0</v>
      </c>
      <c r="AB648">
        <v>1817300</v>
      </c>
      <c r="AC648" t="s">
        <v>251</v>
      </c>
    </row>
    <row r="649" spans="1:29" outlineLevel="1" x14ac:dyDescent="0.2">
      <c r="B649" s="386" t="s">
        <v>2474</v>
      </c>
      <c r="N649">
        <f>SUBTOTAL(9,N648:N648)</f>
        <v>28128.35</v>
      </c>
    </row>
    <row r="650" spans="1:29" outlineLevel="2" x14ac:dyDescent="0.2">
      <c r="A650">
        <v>506</v>
      </c>
      <c r="B650">
        <v>30092629</v>
      </c>
      <c r="C650">
        <v>300926292</v>
      </c>
      <c r="D650" t="s">
        <v>2170</v>
      </c>
      <c r="E650" t="s">
        <v>2390</v>
      </c>
      <c r="F650">
        <v>812201</v>
      </c>
      <c r="G650" t="s">
        <v>2384</v>
      </c>
      <c r="H650">
        <v>90534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2004.85</v>
      </c>
      <c r="O650">
        <v>194.15</v>
      </c>
      <c r="P650">
        <v>56.3</v>
      </c>
      <c r="Q650">
        <v>1632</v>
      </c>
      <c r="R650">
        <v>0</v>
      </c>
      <c r="S650">
        <v>0</v>
      </c>
      <c r="T650">
        <v>0</v>
      </c>
      <c r="U650">
        <v>0</v>
      </c>
      <c r="V650">
        <v>193.65</v>
      </c>
      <c r="W650">
        <v>0</v>
      </c>
      <c r="X650">
        <v>1438.35</v>
      </c>
      <c r="Y650">
        <v>122.4</v>
      </c>
      <c r="Z650">
        <v>0</v>
      </c>
      <c r="AA650">
        <v>0</v>
      </c>
      <c r="AB650">
        <v>1812201</v>
      </c>
      <c r="AC650" t="s">
        <v>251</v>
      </c>
    </row>
    <row r="651" spans="1:29" outlineLevel="1" x14ac:dyDescent="0.2">
      <c r="B651" s="386" t="s">
        <v>2473</v>
      </c>
      <c r="N651">
        <f>SUBTOTAL(9,N650:N650)</f>
        <v>2004.85</v>
      </c>
    </row>
    <row r="652" spans="1:29" outlineLevel="2" x14ac:dyDescent="0.2">
      <c r="A652">
        <v>506</v>
      </c>
      <c r="B652">
        <v>30095375</v>
      </c>
      <c r="C652">
        <v>300953759</v>
      </c>
      <c r="D652" t="s">
        <v>2436</v>
      </c>
      <c r="E652" t="s">
        <v>2430</v>
      </c>
      <c r="F652">
        <v>841000</v>
      </c>
      <c r="G652" t="s">
        <v>2384</v>
      </c>
      <c r="H652">
        <v>90534</v>
      </c>
      <c r="I652">
        <v>0</v>
      </c>
      <c r="J652">
        <v>86</v>
      </c>
      <c r="K652">
        <v>3</v>
      </c>
      <c r="L652">
        <v>3</v>
      </c>
      <c r="M652">
        <v>609.6</v>
      </c>
      <c r="N652">
        <v>87038.56</v>
      </c>
      <c r="O652">
        <v>12607.75</v>
      </c>
      <c r="P652">
        <v>3571.72</v>
      </c>
      <c r="Q652">
        <v>65827.240000000005</v>
      </c>
      <c r="R652">
        <v>1906.25</v>
      </c>
      <c r="S652">
        <v>4902</v>
      </c>
      <c r="T652">
        <v>2739.6</v>
      </c>
      <c r="U652">
        <v>4694.45</v>
      </c>
      <c r="V652">
        <v>7915.4</v>
      </c>
      <c r="W652">
        <v>0</v>
      </c>
      <c r="X652">
        <v>43669.54</v>
      </c>
      <c r="Y652">
        <v>5031.8500000000004</v>
      </c>
      <c r="Z652">
        <v>0</v>
      </c>
      <c r="AA652">
        <v>0</v>
      </c>
      <c r="AB652">
        <v>1841000</v>
      </c>
      <c r="AC652" t="s">
        <v>251</v>
      </c>
    </row>
    <row r="653" spans="1:29" outlineLevel="1" x14ac:dyDescent="0.2">
      <c r="B653" s="386" t="s">
        <v>2472</v>
      </c>
      <c r="N653">
        <f>SUBTOTAL(9,N652:N652)</f>
        <v>87038.56</v>
      </c>
    </row>
    <row r="654" spans="1:29" outlineLevel="2" x14ac:dyDescent="0.2">
      <c r="A654">
        <v>506</v>
      </c>
      <c r="B654">
        <v>30128061</v>
      </c>
      <c r="C654">
        <v>301280616</v>
      </c>
      <c r="D654" t="s">
        <v>2123</v>
      </c>
      <c r="E654" t="s">
        <v>2430</v>
      </c>
      <c r="F654">
        <v>817800</v>
      </c>
      <c r="G654" t="s">
        <v>2384</v>
      </c>
      <c r="H654">
        <v>90534</v>
      </c>
      <c r="I654">
        <v>1</v>
      </c>
      <c r="J654">
        <v>0</v>
      </c>
      <c r="K654">
        <v>0</v>
      </c>
      <c r="L654">
        <v>0</v>
      </c>
      <c r="M654">
        <v>0</v>
      </c>
      <c r="N654">
        <v>9554.33</v>
      </c>
      <c r="O654">
        <v>1012.5</v>
      </c>
      <c r="P654">
        <v>403.38</v>
      </c>
      <c r="Q654">
        <v>7500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7500</v>
      </c>
      <c r="Y654">
        <v>638.45000000000005</v>
      </c>
      <c r="Z654">
        <v>0</v>
      </c>
      <c r="AA654">
        <v>0</v>
      </c>
      <c r="AB654">
        <v>1817800</v>
      </c>
      <c r="AC654" t="s">
        <v>251</v>
      </c>
    </row>
    <row r="655" spans="1:29" outlineLevel="1" x14ac:dyDescent="0.2">
      <c r="B655" s="386" t="s">
        <v>2471</v>
      </c>
      <c r="N655">
        <f>SUBTOTAL(9,N654:N654)</f>
        <v>9554.33</v>
      </c>
    </row>
    <row r="656" spans="1:29" outlineLevel="2" x14ac:dyDescent="0.2">
      <c r="A656">
        <v>506</v>
      </c>
      <c r="B656">
        <v>30128112</v>
      </c>
      <c r="C656">
        <v>301281127</v>
      </c>
      <c r="D656" t="s">
        <v>1390</v>
      </c>
      <c r="E656" t="s">
        <v>2126</v>
      </c>
      <c r="F656">
        <v>815200</v>
      </c>
      <c r="G656" t="s">
        <v>2384</v>
      </c>
      <c r="H656">
        <v>90534</v>
      </c>
      <c r="I656">
        <v>0</v>
      </c>
      <c r="J656">
        <v>73</v>
      </c>
      <c r="K656">
        <v>1</v>
      </c>
      <c r="L656">
        <v>0</v>
      </c>
      <c r="M656">
        <v>33.700000000000003</v>
      </c>
      <c r="N656">
        <v>2337.0700000000002</v>
      </c>
      <c r="O656">
        <v>227.7</v>
      </c>
      <c r="P656">
        <v>72.67</v>
      </c>
      <c r="Q656">
        <v>1878.7</v>
      </c>
      <c r="R656">
        <v>175.9</v>
      </c>
      <c r="S656">
        <v>0</v>
      </c>
      <c r="T656">
        <v>77</v>
      </c>
      <c r="U656">
        <v>0</v>
      </c>
      <c r="V656">
        <v>16.399999999999999</v>
      </c>
      <c r="W656">
        <v>0</v>
      </c>
      <c r="X656">
        <v>1609.4</v>
      </c>
      <c r="Y656">
        <v>158</v>
      </c>
      <c r="Z656">
        <v>0</v>
      </c>
      <c r="AA656">
        <v>0</v>
      </c>
      <c r="AB656">
        <v>1815200</v>
      </c>
      <c r="AC656" t="s">
        <v>251</v>
      </c>
    </row>
    <row r="657" spans="1:29" outlineLevel="1" x14ac:dyDescent="0.2">
      <c r="B657" s="386" t="s">
        <v>2470</v>
      </c>
      <c r="N657">
        <f>SUBTOTAL(9,N656:N656)</f>
        <v>2337.0700000000002</v>
      </c>
    </row>
    <row r="658" spans="1:29" outlineLevel="2" x14ac:dyDescent="0.2">
      <c r="A658">
        <v>506</v>
      </c>
      <c r="B658">
        <v>30137813</v>
      </c>
      <c r="C658">
        <v>301378139</v>
      </c>
      <c r="D658" t="s">
        <v>2230</v>
      </c>
      <c r="E658" t="s">
        <v>2120</v>
      </c>
      <c r="F658">
        <v>814000</v>
      </c>
      <c r="G658" t="s">
        <v>2384</v>
      </c>
      <c r="H658">
        <v>90534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49696.82</v>
      </c>
      <c r="O658">
        <v>6814.95</v>
      </c>
      <c r="P658">
        <v>1171.67</v>
      </c>
      <c r="Q658">
        <v>33961.75</v>
      </c>
      <c r="R658">
        <v>0</v>
      </c>
      <c r="S658">
        <v>2396.6999999999998</v>
      </c>
      <c r="T658">
        <v>0</v>
      </c>
      <c r="U658">
        <v>0</v>
      </c>
      <c r="V658">
        <v>1219.8499999999999</v>
      </c>
      <c r="W658">
        <v>0</v>
      </c>
      <c r="X658">
        <v>30345.200000000001</v>
      </c>
      <c r="Y658">
        <v>2910.05</v>
      </c>
      <c r="Z658">
        <v>0</v>
      </c>
      <c r="AA658">
        <v>0</v>
      </c>
      <c r="AB658">
        <v>1814000</v>
      </c>
      <c r="AC658" t="s">
        <v>251</v>
      </c>
    </row>
    <row r="659" spans="1:29" outlineLevel="1" x14ac:dyDescent="0.2">
      <c r="B659" s="386" t="s">
        <v>2469</v>
      </c>
      <c r="N659">
        <f>SUBTOTAL(9,N658:N658)</f>
        <v>49696.82</v>
      </c>
    </row>
    <row r="660" spans="1:29" outlineLevel="2" x14ac:dyDescent="0.2">
      <c r="A660">
        <v>506</v>
      </c>
      <c r="B660">
        <v>30154519</v>
      </c>
      <c r="C660">
        <v>301545190</v>
      </c>
      <c r="D660" t="s">
        <v>2415</v>
      </c>
      <c r="E660" t="s">
        <v>2161</v>
      </c>
      <c r="F660">
        <v>815200</v>
      </c>
      <c r="G660" t="s">
        <v>2384</v>
      </c>
      <c r="H660">
        <v>90534</v>
      </c>
      <c r="I660">
        <v>0</v>
      </c>
      <c r="J660">
        <v>93</v>
      </c>
      <c r="K660">
        <v>2</v>
      </c>
      <c r="L660">
        <v>0</v>
      </c>
      <c r="M660">
        <v>400</v>
      </c>
      <c r="N660">
        <v>38173.800000000003</v>
      </c>
      <c r="O660">
        <v>3983.4</v>
      </c>
      <c r="P660">
        <v>1327.68</v>
      </c>
      <c r="Q660">
        <v>30292.07</v>
      </c>
      <c r="R660">
        <v>0</v>
      </c>
      <c r="S660">
        <v>0</v>
      </c>
      <c r="T660">
        <v>2293.25</v>
      </c>
      <c r="U660">
        <v>0</v>
      </c>
      <c r="V660">
        <v>785</v>
      </c>
      <c r="W660">
        <v>0</v>
      </c>
      <c r="X660">
        <v>27213.82</v>
      </c>
      <c r="Y660">
        <v>2570.65</v>
      </c>
      <c r="Z660">
        <v>0</v>
      </c>
      <c r="AA660">
        <v>0</v>
      </c>
      <c r="AB660">
        <v>1815200</v>
      </c>
      <c r="AC660" t="s">
        <v>251</v>
      </c>
    </row>
    <row r="661" spans="1:29" outlineLevel="1" x14ac:dyDescent="0.2">
      <c r="B661" s="386" t="s">
        <v>2468</v>
      </c>
      <c r="N661">
        <f>SUBTOTAL(9,N660:N660)</f>
        <v>38173.800000000003</v>
      </c>
    </row>
    <row r="662" spans="1:29" outlineLevel="2" x14ac:dyDescent="0.2">
      <c r="A662">
        <v>506</v>
      </c>
      <c r="B662">
        <v>30169103</v>
      </c>
      <c r="C662">
        <v>301691036</v>
      </c>
      <c r="D662" t="s">
        <v>1390</v>
      </c>
      <c r="E662" t="s">
        <v>2416</v>
      </c>
      <c r="F662">
        <v>815200</v>
      </c>
      <c r="G662" t="s">
        <v>2384</v>
      </c>
      <c r="H662">
        <v>90534</v>
      </c>
      <c r="I662">
        <v>0</v>
      </c>
      <c r="J662">
        <v>73</v>
      </c>
      <c r="K662">
        <v>1</v>
      </c>
      <c r="L662">
        <v>0</v>
      </c>
      <c r="M662">
        <v>669.6</v>
      </c>
      <c r="N662">
        <v>53097.71</v>
      </c>
      <c r="O662">
        <v>5346</v>
      </c>
      <c r="P662">
        <v>1496.6</v>
      </c>
      <c r="Q662">
        <v>43028.01</v>
      </c>
      <c r="R662">
        <v>2338.8000000000002</v>
      </c>
      <c r="S662">
        <v>2665.25</v>
      </c>
      <c r="T662">
        <v>5445.8</v>
      </c>
      <c r="U662">
        <v>0</v>
      </c>
      <c r="V662">
        <v>809.75</v>
      </c>
      <c r="W662">
        <v>0</v>
      </c>
      <c r="X662">
        <v>31768.41</v>
      </c>
      <c r="Y662">
        <v>3227.1</v>
      </c>
      <c r="Z662">
        <v>0</v>
      </c>
      <c r="AA662">
        <v>0</v>
      </c>
      <c r="AB662">
        <v>1815200</v>
      </c>
      <c r="AC662" t="s">
        <v>251</v>
      </c>
    </row>
    <row r="663" spans="1:29" outlineLevel="1" x14ac:dyDescent="0.2">
      <c r="B663" s="386" t="s">
        <v>2467</v>
      </c>
      <c r="N663">
        <f>SUBTOTAL(9,N662:N662)</f>
        <v>53097.71</v>
      </c>
    </row>
    <row r="664" spans="1:29" outlineLevel="2" x14ac:dyDescent="0.2">
      <c r="A664">
        <v>506</v>
      </c>
      <c r="B664">
        <v>30169548</v>
      </c>
      <c r="C664">
        <v>301695482</v>
      </c>
      <c r="D664" t="s">
        <v>2112</v>
      </c>
      <c r="E664" t="s">
        <v>2137</v>
      </c>
      <c r="F664">
        <v>812202</v>
      </c>
      <c r="G664" t="s">
        <v>2384</v>
      </c>
      <c r="H664">
        <v>90534</v>
      </c>
      <c r="I664">
        <v>1</v>
      </c>
      <c r="J664">
        <v>0</v>
      </c>
      <c r="K664">
        <v>0</v>
      </c>
      <c r="L664">
        <v>0</v>
      </c>
      <c r="M664">
        <v>0</v>
      </c>
      <c r="N664">
        <v>25339.16</v>
      </c>
      <c r="O664">
        <v>2643.95</v>
      </c>
      <c r="P664">
        <v>705.71</v>
      </c>
      <c r="Q664">
        <v>20455.349999999999</v>
      </c>
      <c r="R664">
        <v>0</v>
      </c>
      <c r="S664">
        <v>1384.75</v>
      </c>
      <c r="T664">
        <v>0</v>
      </c>
      <c r="U664">
        <v>0</v>
      </c>
      <c r="V664">
        <v>590.6</v>
      </c>
      <c r="W664">
        <v>0</v>
      </c>
      <c r="X664">
        <v>18480</v>
      </c>
      <c r="Y664">
        <v>1534.15</v>
      </c>
      <c r="Z664">
        <v>0</v>
      </c>
      <c r="AA664">
        <v>0</v>
      </c>
      <c r="AB664">
        <v>1812202</v>
      </c>
      <c r="AC664" t="s">
        <v>251</v>
      </c>
    </row>
    <row r="665" spans="1:29" outlineLevel="1" x14ac:dyDescent="0.2">
      <c r="B665" s="386" t="s">
        <v>2466</v>
      </c>
      <c r="N665">
        <f>SUBTOTAL(9,N664:N664)</f>
        <v>25339.16</v>
      </c>
    </row>
    <row r="666" spans="1:29" outlineLevel="2" x14ac:dyDescent="0.2">
      <c r="A666">
        <v>506</v>
      </c>
      <c r="B666">
        <v>30172182</v>
      </c>
      <c r="C666">
        <v>301721825</v>
      </c>
      <c r="D666" t="s">
        <v>1531</v>
      </c>
      <c r="E666" t="s">
        <v>2433</v>
      </c>
      <c r="F666">
        <v>817800</v>
      </c>
      <c r="G666" t="s">
        <v>2384</v>
      </c>
      <c r="H666">
        <v>90534</v>
      </c>
      <c r="I666">
        <v>1</v>
      </c>
      <c r="J666">
        <v>0</v>
      </c>
      <c r="K666">
        <v>0</v>
      </c>
      <c r="L666">
        <v>0</v>
      </c>
      <c r="M666">
        <v>0</v>
      </c>
      <c r="N666">
        <v>1997.1</v>
      </c>
      <c r="O666">
        <v>0</v>
      </c>
      <c r="P666">
        <v>62.1</v>
      </c>
      <c r="Q666">
        <v>1800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1800</v>
      </c>
      <c r="Y666">
        <v>135</v>
      </c>
      <c r="Z666">
        <v>0</v>
      </c>
      <c r="AA666">
        <v>0</v>
      </c>
      <c r="AB666">
        <v>1817800</v>
      </c>
      <c r="AC666" t="s">
        <v>251</v>
      </c>
    </row>
    <row r="667" spans="1:29" outlineLevel="1" x14ac:dyDescent="0.2">
      <c r="B667" s="386" t="s">
        <v>2465</v>
      </c>
      <c r="N667">
        <f>SUBTOTAL(9,N666:N666)</f>
        <v>1997.1</v>
      </c>
    </row>
    <row r="668" spans="1:29" outlineLevel="2" x14ac:dyDescent="0.2">
      <c r="A668">
        <v>506</v>
      </c>
      <c r="B668">
        <v>30172477</v>
      </c>
      <c r="C668">
        <v>301724779</v>
      </c>
      <c r="D668" t="s">
        <v>1531</v>
      </c>
      <c r="E668" t="s">
        <v>2391</v>
      </c>
      <c r="F668">
        <v>812201</v>
      </c>
      <c r="G668" t="s">
        <v>2384</v>
      </c>
      <c r="H668">
        <v>90534</v>
      </c>
      <c r="I668">
        <v>1</v>
      </c>
      <c r="J668">
        <v>0</v>
      </c>
      <c r="K668">
        <v>0</v>
      </c>
      <c r="L668">
        <v>0</v>
      </c>
      <c r="M668">
        <v>0</v>
      </c>
      <c r="N668">
        <v>7610.67</v>
      </c>
      <c r="O668">
        <v>761.6</v>
      </c>
      <c r="P668">
        <v>212.97</v>
      </c>
      <c r="Q668">
        <v>6173.1</v>
      </c>
      <c r="R668">
        <v>0</v>
      </c>
      <c r="S668">
        <v>1864.1</v>
      </c>
      <c r="T668">
        <v>0</v>
      </c>
      <c r="U668">
        <v>0</v>
      </c>
      <c r="V668">
        <v>251.7</v>
      </c>
      <c r="W668">
        <v>0</v>
      </c>
      <c r="X668">
        <v>4057.3</v>
      </c>
      <c r="Y668">
        <v>463</v>
      </c>
      <c r="Z668">
        <v>0</v>
      </c>
      <c r="AA668">
        <v>0</v>
      </c>
      <c r="AB668">
        <v>1812201</v>
      </c>
      <c r="AC668" t="s">
        <v>251</v>
      </c>
    </row>
    <row r="669" spans="1:29" outlineLevel="1" x14ac:dyDescent="0.2">
      <c r="B669" s="386" t="s">
        <v>2464</v>
      </c>
      <c r="N669">
        <f>SUBTOTAL(9,N668:N668)</f>
        <v>7610.67</v>
      </c>
    </row>
    <row r="670" spans="1:29" outlineLevel="2" x14ac:dyDescent="0.2">
      <c r="A670">
        <v>506</v>
      </c>
      <c r="B670">
        <v>30265944</v>
      </c>
      <c r="C670">
        <v>302659446</v>
      </c>
      <c r="D670" t="s">
        <v>2114</v>
      </c>
      <c r="E670" t="s">
        <v>2153</v>
      </c>
      <c r="F670">
        <v>812500</v>
      </c>
      <c r="G670" t="s">
        <v>2384</v>
      </c>
      <c r="H670">
        <v>90534</v>
      </c>
      <c r="I670">
        <v>1</v>
      </c>
      <c r="J670">
        <v>0</v>
      </c>
      <c r="K670">
        <v>0</v>
      </c>
      <c r="L670">
        <v>0</v>
      </c>
      <c r="M670">
        <v>0</v>
      </c>
      <c r="N670">
        <v>702.51</v>
      </c>
      <c r="O670">
        <v>76.2</v>
      </c>
      <c r="P670">
        <v>19.47</v>
      </c>
      <c r="Q670">
        <v>564.5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564.5</v>
      </c>
      <c r="Y670">
        <v>42.34</v>
      </c>
      <c r="Z670">
        <v>0</v>
      </c>
      <c r="AA670">
        <v>0</v>
      </c>
      <c r="AB670">
        <v>1812500</v>
      </c>
      <c r="AC670" t="s">
        <v>251</v>
      </c>
    </row>
    <row r="671" spans="1:29" outlineLevel="2" x14ac:dyDescent="0.2">
      <c r="A671">
        <v>506</v>
      </c>
      <c r="B671">
        <v>30265944</v>
      </c>
      <c r="C671">
        <v>302659446</v>
      </c>
      <c r="D671" t="s">
        <v>2114</v>
      </c>
      <c r="E671" t="s">
        <v>2153</v>
      </c>
      <c r="F671">
        <v>813310</v>
      </c>
      <c r="G671" t="s">
        <v>2384</v>
      </c>
      <c r="H671">
        <v>90534</v>
      </c>
      <c r="I671">
        <v>1</v>
      </c>
      <c r="J671">
        <v>0</v>
      </c>
      <c r="K671">
        <v>0</v>
      </c>
      <c r="L671">
        <v>0</v>
      </c>
      <c r="M671">
        <v>0</v>
      </c>
      <c r="N671">
        <v>32609.3</v>
      </c>
      <c r="O671">
        <v>3366.15</v>
      </c>
      <c r="P671">
        <v>909.34</v>
      </c>
      <c r="Q671">
        <v>26357</v>
      </c>
      <c r="R671">
        <v>0</v>
      </c>
      <c r="S671">
        <v>2716.25</v>
      </c>
      <c r="T671">
        <v>0</v>
      </c>
      <c r="U671">
        <v>0</v>
      </c>
      <c r="V671">
        <v>1142.45</v>
      </c>
      <c r="W671">
        <v>0</v>
      </c>
      <c r="X671">
        <v>22498.3</v>
      </c>
      <c r="Y671">
        <v>1976.81</v>
      </c>
      <c r="Z671">
        <v>0</v>
      </c>
      <c r="AA671">
        <v>0</v>
      </c>
      <c r="AB671">
        <v>1813310</v>
      </c>
      <c r="AC671" t="s">
        <v>251</v>
      </c>
    </row>
    <row r="672" spans="1:29" outlineLevel="1" x14ac:dyDescent="0.2">
      <c r="B672" s="386" t="s">
        <v>2463</v>
      </c>
      <c r="N672">
        <f>SUBTOTAL(9,N670:N671)</f>
        <v>33311.81</v>
      </c>
    </row>
    <row r="673" spans="1:29" outlineLevel="2" x14ac:dyDescent="0.2">
      <c r="A673">
        <v>506</v>
      </c>
      <c r="B673">
        <v>30266159</v>
      </c>
      <c r="C673">
        <v>302661590</v>
      </c>
      <c r="D673" t="s">
        <v>2393</v>
      </c>
      <c r="E673" t="s">
        <v>1502</v>
      </c>
      <c r="F673">
        <v>812512</v>
      </c>
      <c r="G673" t="s">
        <v>2384</v>
      </c>
      <c r="H673">
        <v>90534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35389.199999999997</v>
      </c>
      <c r="O673">
        <v>3742.3</v>
      </c>
      <c r="P673">
        <v>1015.3</v>
      </c>
      <c r="Q673">
        <v>28494.55</v>
      </c>
      <c r="R673">
        <v>0</v>
      </c>
      <c r="S673">
        <v>0</v>
      </c>
      <c r="T673">
        <v>0</v>
      </c>
      <c r="U673">
        <v>0</v>
      </c>
      <c r="V673">
        <v>774.55</v>
      </c>
      <c r="W673">
        <v>0</v>
      </c>
      <c r="X673">
        <v>27720</v>
      </c>
      <c r="Y673">
        <v>2137.0500000000002</v>
      </c>
      <c r="Z673">
        <v>0</v>
      </c>
      <c r="AA673">
        <v>0</v>
      </c>
      <c r="AB673">
        <v>1812512</v>
      </c>
      <c r="AC673" t="s">
        <v>251</v>
      </c>
    </row>
    <row r="674" spans="1:29" outlineLevel="1" x14ac:dyDescent="0.2">
      <c r="B674" s="386" t="s">
        <v>2462</v>
      </c>
      <c r="N674">
        <f>SUBTOTAL(9,N673:N673)</f>
        <v>35389.199999999997</v>
      </c>
    </row>
    <row r="675" spans="1:29" outlineLevel="2" x14ac:dyDescent="0.2">
      <c r="A675">
        <v>506</v>
      </c>
      <c r="B675">
        <v>30279365</v>
      </c>
      <c r="C675">
        <v>302793658</v>
      </c>
      <c r="D675" t="s">
        <v>2242</v>
      </c>
      <c r="E675" t="s">
        <v>2243</v>
      </c>
      <c r="F675">
        <v>817300</v>
      </c>
      <c r="G675" t="s">
        <v>2384</v>
      </c>
      <c r="H675">
        <v>90534</v>
      </c>
      <c r="I675">
        <v>0</v>
      </c>
      <c r="J675">
        <v>81</v>
      </c>
      <c r="K675">
        <v>37</v>
      </c>
      <c r="L675">
        <v>0</v>
      </c>
      <c r="M675">
        <v>400</v>
      </c>
      <c r="N675">
        <v>42683.57</v>
      </c>
      <c r="O675">
        <v>4552.3999999999996</v>
      </c>
      <c r="P675">
        <v>1185.7</v>
      </c>
      <c r="Q675">
        <v>34367.870000000003</v>
      </c>
      <c r="R675">
        <v>0</v>
      </c>
      <c r="S675">
        <v>637.25</v>
      </c>
      <c r="T675">
        <v>0</v>
      </c>
      <c r="U675">
        <v>0</v>
      </c>
      <c r="V675">
        <v>3545.2</v>
      </c>
      <c r="W675">
        <v>0</v>
      </c>
      <c r="X675">
        <v>30185.42</v>
      </c>
      <c r="Y675">
        <v>2577.6</v>
      </c>
      <c r="Z675">
        <v>0</v>
      </c>
      <c r="AA675">
        <v>0</v>
      </c>
      <c r="AB675">
        <v>1817300</v>
      </c>
      <c r="AC675" t="s">
        <v>251</v>
      </c>
    </row>
    <row r="676" spans="1:29" outlineLevel="1" x14ac:dyDescent="0.2">
      <c r="B676" s="386" t="s">
        <v>2461</v>
      </c>
      <c r="N676">
        <f>SUBTOTAL(9,N675:N675)</f>
        <v>42683.57</v>
      </c>
    </row>
    <row r="677" spans="1:29" outlineLevel="2" x14ac:dyDescent="0.2">
      <c r="A677">
        <v>506</v>
      </c>
      <c r="B677">
        <v>30282635</v>
      </c>
      <c r="C677">
        <v>302826359</v>
      </c>
      <c r="D677" t="s">
        <v>2417</v>
      </c>
      <c r="E677" t="s">
        <v>2130</v>
      </c>
      <c r="F677">
        <v>815200</v>
      </c>
      <c r="G677" t="s">
        <v>2384</v>
      </c>
      <c r="H677">
        <v>90534</v>
      </c>
      <c r="I677">
        <v>0</v>
      </c>
      <c r="J677">
        <v>93</v>
      </c>
      <c r="K677">
        <v>2</v>
      </c>
      <c r="L677">
        <v>0</v>
      </c>
      <c r="M677">
        <v>569.6</v>
      </c>
      <c r="N677">
        <v>44633</v>
      </c>
      <c r="O677">
        <v>4695.6000000000004</v>
      </c>
      <c r="P677">
        <v>1387.86</v>
      </c>
      <c r="Q677">
        <v>35532.49</v>
      </c>
      <c r="R677">
        <v>0</v>
      </c>
      <c r="S677">
        <v>0</v>
      </c>
      <c r="T677">
        <v>1824.45</v>
      </c>
      <c r="U677">
        <v>0</v>
      </c>
      <c r="V677">
        <v>751.25</v>
      </c>
      <c r="W677">
        <v>0</v>
      </c>
      <c r="X677">
        <v>32956.79</v>
      </c>
      <c r="Y677">
        <v>3017.05</v>
      </c>
      <c r="Z677">
        <v>0</v>
      </c>
      <c r="AA677">
        <v>0</v>
      </c>
      <c r="AB677">
        <v>1815200</v>
      </c>
      <c r="AC677" t="s">
        <v>251</v>
      </c>
    </row>
    <row r="678" spans="1:29" outlineLevel="1" x14ac:dyDescent="0.2">
      <c r="B678" s="386" t="s">
        <v>2460</v>
      </c>
      <c r="N678">
        <f>SUBTOTAL(9,N677:N677)</f>
        <v>44633</v>
      </c>
    </row>
    <row r="679" spans="1:29" outlineLevel="2" x14ac:dyDescent="0.2">
      <c r="A679">
        <v>506</v>
      </c>
      <c r="B679">
        <v>30287672</v>
      </c>
      <c r="C679">
        <v>302876727</v>
      </c>
      <c r="D679" t="s">
        <v>2260</v>
      </c>
      <c r="E679" t="s">
        <v>2294</v>
      </c>
      <c r="F679">
        <v>813300</v>
      </c>
      <c r="G679" t="s">
        <v>2384</v>
      </c>
      <c r="H679">
        <v>90534</v>
      </c>
      <c r="I679">
        <v>1</v>
      </c>
      <c r="J679">
        <v>0</v>
      </c>
      <c r="K679">
        <v>0</v>
      </c>
      <c r="L679">
        <v>0</v>
      </c>
      <c r="M679">
        <v>0</v>
      </c>
      <c r="N679">
        <v>29122.1</v>
      </c>
      <c r="O679">
        <v>2963.75</v>
      </c>
      <c r="P679">
        <v>813.4</v>
      </c>
      <c r="Q679">
        <v>23576.7</v>
      </c>
      <c r="R679">
        <v>0</v>
      </c>
      <c r="S679">
        <v>2396.6999999999998</v>
      </c>
      <c r="T679">
        <v>0</v>
      </c>
      <c r="U679">
        <v>0</v>
      </c>
      <c r="V679">
        <v>1132.8</v>
      </c>
      <c r="W679">
        <v>0</v>
      </c>
      <c r="X679">
        <v>20047.2</v>
      </c>
      <c r="Y679">
        <v>1768.25</v>
      </c>
      <c r="Z679">
        <v>0</v>
      </c>
      <c r="AA679">
        <v>0</v>
      </c>
      <c r="AB679">
        <v>1813300</v>
      </c>
      <c r="AC679" t="s">
        <v>251</v>
      </c>
    </row>
    <row r="680" spans="1:29" outlineLevel="2" x14ac:dyDescent="0.2">
      <c r="A680">
        <v>506</v>
      </c>
      <c r="B680">
        <v>30287672</v>
      </c>
      <c r="C680">
        <v>302876727</v>
      </c>
      <c r="D680" t="s">
        <v>2260</v>
      </c>
      <c r="E680" t="s">
        <v>2294</v>
      </c>
      <c r="F680">
        <v>813301</v>
      </c>
      <c r="G680" t="s">
        <v>2384</v>
      </c>
      <c r="H680">
        <v>90534</v>
      </c>
      <c r="I680">
        <v>1</v>
      </c>
      <c r="J680">
        <v>0</v>
      </c>
      <c r="K680">
        <v>0</v>
      </c>
      <c r="L680">
        <v>0</v>
      </c>
      <c r="M680">
        <v>0</v>
      </c>
      <c r="N680">
        <v>1480.14</v>
      </c>
      <c r="O680">
        <v>152.4</v>
      </c>
      <c r="P680">
        <v>41.29</v>
      </c>
      <c r="Q680">
        <v>1196.7</v>
      </c>
      <c r="R680">
        <v>0</v>
      </c>
      <c r="S680">
        <v>0</v>
      </c>
      <c r="T680">
        <v>0</v>
      </c>
      <c r="U680">
        <v>0</v>
      </c>
      <c r="V680">
        <v>67.75</v>
      </c>
      <c r="W680">
        <v>0</v>
      </c>
      <c r="X680">
        <v>1128.95</v>
      </c>
      <c r="Y680">
        <v>89.75</v>
      </c>
      <c r="Z680">
        <v>0</v>
      </c>
      <c r="AA680">
        <v>0</v>
      </c>
      <c r="AB680">
        <v>1813301</v>
      </c>
      <c r="AC680" t="s">
        <v>251</v>
      </c>
    </row>
    <row r="681" spans="1:29" outlineLevel="1" x14ac:dyDescent="0.2">
      <c r="B681" s="386" t="s">
        <v>2459</v>
      </c>
      <c r="N681">
        <f>SUBTOTAL(9,N679:N680)</f>
        <v>30602.239999999998</v>
      </c>
    </row>
    <row r="682" spans="1:29" outlineLevel="2" x14ac:dyDescent="0.2">
      <c r="A682">
        <v>506</v>
      </c>
      <c r="B682">
        <v>30292548</v>
      </c>
      <c r="C682">
        <v>302925482</v>
      </c>
      <c r="D682" t="s">
        <v>2138</v>
      </c>
      <c r="E682" t="s">
        <v>2139</v>
      </c>
      <c r="F682">
        <v>812202</v>
      </c>
      <c r="G682" t="s">
        <v>2384</v>
      </c>
      <c r="H682">
        <v>90534</v>
      </c>
      <c r="I682">
        <v>1</v>
      </c>
      <c r="J682">
        <v>0</v>
      </c>
      <c r="K682">
        <v>0</v>
      </c>
      <c r="L682">
        <v>0</v>
      </c>
      <c r="M682">
        <v>0</v>
      </c>
      <c r="N682">
        <v>52120.07</v>
      </c>
      <c r="O682">
        <v>5509.35</v>
      </c>
      <c r="P682">
        <v>1449.37</v>
      </c>
      <c r="Q682">
        <v>42010.6</v>
      </c>
      <c r="R682">
        <v>0</v>
      </c>
      <c r="S682">
        <v>0</v>
      </c>
      <c r="T682">
        <v>0</v>
      </c>
      <c r="U682">
        <v>0</v>
      </c>
      <c r="V682">
        <v>1200.5999999999999</v>
      </c>
      <c r="W682">
        <v>0</v>
      </c>
      <c r="X682">
        <v>40810</v>
      </c>
      <c r="Y682">
        <v>3150.75</v>
      </c>
      <c r="Z682">
        <v>0</v>
      </c>
      <c r="AA682">
        <v>0</v>
      </c>
      <c r="AB682">
        <v>1812202</v>
      </c>
      <c r="AC682" t="s">
        <v>251</v>
      </c>
    </row>
    <row r="683" spans="1:29" outlineLevel="1" x14ac:dyDescent="0.2">
      <c r="B683" s="386" t="s">
        <v>2458</v>
      </c>
      <c r="N683">
        <f>SUBTOTAL(9,N682:N682)</f>
        <v>52120.07</v>
      </c>
    </row>
    <row r="684" spans="1:29" outlineLevel="2" x14ac:dyDescent="0.2">
      <c r="A684">
        <v>506</v>
      </c>
      <c r="B684">
        <v>30305092</v>
      </c>
      <c r="C684">
        <v>303050926</v>
      </c>
      <c r="D684" t="s">
        <v>2131</v>
      </c>
      <c r="E684" t="s">
        <v>2152</v>
      </c>
      <c r="F684">
        <v>812200</v>
      </c>
      <c r="G684" t="s">
        <v>2384</v>
      </c>
      <c r="H684">
        <v>90534</v>
      </c>
      <c r="I684">
        <v>1</v>
      </c>
      <c r="J684">
        <v>0</v>
      </c>
      <c r="K684">
        <v>0</v>
      </c>
      <c r="L684">
        <v>0</v>
      </c>
      <c r="M684">
        <v>0</v>
      </c>
      <c r="N684">
        <v>32152.21</v>
      </c>
      <c r="O684">
        <v>3399.45</v>
      </c>
      <c r="P684">
        <v>894.06</v>
      </c>
      <c r="Q684">
        <v>25915</v>
      </c>
      <c r="R684">
        <v>0</v>
      </c>
      <c r="S684">
        <v>2503.1999999999998</v>
      </c>
      <c r="T684">
        <v>0</v>
      </c>
      <c r="U684">
        <v>0</v>
      </c>
      <c r="V684">
        <v>1016.6</v>
      </c>
      <c r="W684">
        <v>0</v>
      </c>
      <c r="X684">
        <v>22395.200000000001</v>
      </c>
      <c r="Y684">
        <v>1943.7</v>
      </c>
      <c r="Z684">
        <v>0</v>
      </c>
      <c r="AA684">
        <v>0</v>
      </c>
      <c r="AB684">
        <v>1812200</v>
      </c>
      <c r="AC684" t="s">
        <v>251</v>
      </c>
    </row>
    <row r="685" spans="1:29" outlineLevel="2" x14ac:dyDescent="0.2">
      <c r="A685">
        <v>506</v>
      </c>
      <c r="B685">
        <v>30305092</v>
      </c>
      <c r="C685">
        <v>303050926</v>
      </c>
      <c r="D685" t="s">
        <v>2131</v>
      </c>
      <c r="E685" t="s">
        <v>2152</v>
      </c>
      <c r="F685">
        <v>812300</v>
      </c>
      <c r="G685" t="s">
        <v>2384</v>
      </c>
      <c r="H685">
        <v>90534</v>
      </c>
      <c r="I685">
        <v>1</v>
      </c>
      <c r="J685">
        <v>0</v>
      </c>
      <c r="K685">
        <v>0</v>
      </c>
      <c r="L685">
        <v>0</v>
      </c>
      <c r="M685">
        <v>0</v>
      </c>
      <c r="N685">
        <v>3207.13</v>
      </c>
      <c r="O685">
        <v>496.75</v>
      </c>
      <c r="P685">
        <v>84.28</v>
      </c>
      <c r="Q685">
        <v>2442.9</v>
      </c>
      <c r="R685">
        <v>0</v>
      </c>
      <c r="S685">
        <v>0</v>
      </c>
      <c r="T685">
        <v>0</v>
      </c>
      <c r="U685">
        <v>0</v>
      </c>
      <c r="V685">
        <v>77.45</v>
      </c>
      <c r="W685">
        <v>0</v>
      </c>
      <c r="X685">
        <v>2365.4499999999998</v>
      </c>
      <c r="Y685">
        <v>183.2</v>
      </c>
      <c r="Z685">
        <v>0</v>
      </c>
      <c r="AA685">
        <v>0</v>
      </c>
      <c r="AB685">
        <v>1812300</v>
      </c>
      <c r="AC685" t="s">
        <v>251</v>
      </c>
    </row>
    <row r="686" spans="1:29" outlineLevel="1" x14ac:dyDescent="0.2">
      <c r="B686" s="386" t="s">
        <v>2457</v>
      </c>
      <c r="N686">
        <f>SUBTOTAL(9,N684:N685)</f>
        <v>35359.339999999997</v>
      </c>
    </row>
    <row r="687" spans="1:29" outlineLevel="2" x14ac:dyDescent="0.2">
      <c r="A687">
        <v>506</v>
      </c>
      <c r="B687">
        <v>30305481</v>
      </c>
      <c r="C687">
        <v>303054811</v>
      </c>
      <c r="D687" t="s">
        <v>2207</v>
      </c>
      <c r="E687" t="s">
        <v>2398</v>
      </c>
      <c r="F687">
        <v>813201</v>
      </c>
      <c r="G687" t="s">
        <v>2384</v>
      </c>
      <c r="H687">
        <v>90534</v>
      </c>
      <c r="I687">
        <v>0</v>
      </c>
      <c r="J687">
        <v>5</v>
      </c>
      <c r="K687">
        <v>5</v>
      </c>
      <c r="L687">
        <v>0</v>
      </c>
      <c r="M687">
        <v>200</v>
      </c>
      <c r="N687">
        <v>37564.910000000003</v>
      </c>
      <c r="O687">
        <v>2827.9</v>
      </c>
      <c r="P687">
        <v>669.83</v>
      </c>
      <c r="Q687">
        <v>25942.68</v>
      </c>
      <c r="R687">
        <v>748.8</v>
      </c>
      <c r="S687">
        <v>4527.1000000000004</v>
      </c>
      <c r="T687">
        <v>0</v>
      </c>
      <c r="U687">
        <v>0</v>
      </c>
      <c r="V687">
        <v>329.45</v>
      </c>
      <c r="W687">
        <v>0</v>
      </c>
      <c r="X687">
        <v>20337.330000000002</v>
      </c>
      <c r="Y687">
        <v>2376.8000000000002</v>
      </c>
      <c r="Z687">
        <v>0</v>
      </c>
      <c r="AA687">
        <v>0</v>
      </c>
      <c r="AB687">
        <v>1813201</v>
      </c>
      <c r="AC687" t="s">
        <v>251</v>
      </c>
    </row>
    <row r="688" spans="1:29" outlineLevel="1" x14ac:dyDescent="0.2">
      <c r="B688" s="386" t="s">
        <v>2456</v>
      </c>
      <c r="N688">
        <f>SUBTOTAL(9,N687:N687)</f>
        <v>37564.910000000003</v>
      </c>
    </row>
    <row r="689" spans="1:29" outlineLevel="2" x14ac:dyDescent="0.2">
      <c r="A689">
        <v>506</v>
      </c>
      <c r="B689">
        <v>30305535</v>
      </c>
      <c r="C689">
        <v>303055354</v>
      </c>
      <c r="D689" t="s">
        <v>2180</v>
      </c>
      <c r="E689" t="s">
        <v>2204</v>
      </c>
      <c r="F689">
        <v>812201</v>
      </c>
      <c r="G689" t="s">
        <v>2384</v>
      </c>
      <c r="H689">
        <v>90534</v>
      </c>
      <c r="I689">
        <v>1</v>
      </c>
      <c r="J689">
        <v>0</v>
      </c>
      <c r="K689">
        <v>0</v>
      </c>
      <c r="L689">
        <v>0</v>
      </c>
      <c r="M689">
        <v>0</v>
      </c>
      <c r="N689">
        <v>23121.61</v>
      </c>
      <c r="O689">
        <v>2134.1</v>
      </c>
      <c r="P689">
        <v>652.61</v>
      </c>
      <c r="Q689">
        <v>18916.2</v>
      </c>
      <c r="R689">
        <v>0</v>
      </c>
      <c r="S689">
        <v>0</v>
      </c>
      <c r="T689">
        <v>0</v>
      </c>
      <c r="U689">
        <v>0</v>
      </c>
      <c r="V689">
        <v>3107.95</v>
      </c>
      <c r="W689">
        <v>0</v>
      </c>
      <c r="X689">
        <v>15808.25</v>
      </c>
      <c r="Y689">
        <v>1418.7</v>
      </c>
      <c r="Z689">
        <v>0</v>
      </c>
      <c r="AA689">
        <v>0</v>
      </c>
      <c r="AB689">
        <v>1812201</v>
      </c>
      <c r="AC689" t="s">
        <v>251</v>
      </c>
    </row>
    <row r="690" spans="1:29" outlineLevel="2" x14ac:dyDescent="0.2">
      <c r="A690">
        <v>506</v>
      </c>
      <c r="B690">
        <v>30305535</v>
      </c>
      <c r="C690">
        <v>303055354</v>
      </c>
      <c r="D690" t="s">
        <v>2180</v>
      </c>
      <c r="E690" t="s">
        <v>2204</v>
      </c>
      <c r="F690">
        <v>813310</v>
      </c>
      <c r="G690" t="s">
        <v>2384</v>
      </c>
      <c r="H690">
        <v>90534</v>
      </c>
      <c r="I690">
        <v>1</v>
      </c>
      <c r="J690">
        <v>0</v>
      </c>
      <c r="K690">
        <v>0</v>
      </c>
      <c r="L690">
        <v>0</v>
      </c>
      <c r="M690">
        <v>0</v>
      </c>
      <c r="N690">
        <v>1870.83</v>
      </c>
      <c r="O690">
        <v>195.95</v>
      </c>
      <c r="P690">
        <v>52.08</v>
      </c>
      <c r="Q690">
        <v>1509.6</v>
      </c>
      <c r="R690">
        <v>0</v>
      </c>
      <c r="S690">
        <v>0</v>
      </c>
      <c r="T690">
        <v>0</v>
      </c>
      <c r="U690">
        <v>0</v>
      </c>
      <c r="V690">
        <v>58.1</v>
      </c>
      <c r="W690">
        <v>0</v>
      </c>
      <c r="X690">
        <v>1451.5</v>
      </c>
      <c r="Y690">
        <v>113.2</v>
      </c>
      <c r="Z690">
        <v>0</v>
      </c>
      <c r="AA690">
        <v>0</v>
      </c>
      <c r="AB690">
        <v>1813310</v>
      </c>
      <c r="AC690" t="s">
        <v>251</v>
      </c>
    </row>
    <row r="691" spans="1:29" outlineLevel="1" x14ac:dyDescent="0.2">
      <c r="B691" s="386" t="s">
        <v>2455</v>
      </c>
      <c r="N691">
        <f>SUBTOTAL(9,N689:N690)</f>
        <v>24992.440000000002</v>
      </c>
    </row>
    <row r="692" spans="1:29" outlineLevel="2" x14ac:dyDescent="0.2">
      <c r="A692">
        <v>506</v>
      </c>
      <c r="B692">
        <v>30492671</v>
      </c>
      <c r="C692">
        <v>304926710</v>
      </c>
      <c r="D692" t="s">
        <v>2311</v>
      </c>
      <c r="E692" t="s">
        <v>2312</v>
      </c>
      <c r="F692">
        <v>841000</v>
      </c>
      <c r="G692" t="s">
        <v>2384</v>
      </c>
      <c r="H692">
        <v>90534</v>
      </c>
      <c r="I692">
        <v>0</v>
      </c>
      <c r="J692">
        <v>86</v>
      </c>
      <c r="K692">
        <v>2</v>
      </c>
      <c r="L692">
        <v>2</v>
      </c>
      <c r="M692">
        <v>400</v>
      </c>
      <c r="N692">
        <v>46105.760000000002</v>
      </c>
      <c r="O692">
        <v>5239.3</v>
      </c>
      <c r="P692">
        <v>1280.78</v>
      </c>
      <c r="Q692">
        <v>36801.43</v>
      </c>
      <c r="R692">
        <v>0</v>
      </c>
      <c r="S692">
        <v>0</v>
      </c>
      <c r="T692">
        <v>2470</v>
      </c>
      <c r="U692">
        <v>3080</v>
      </c>
      <c r="V692">
        <v>6686.35</v>
      </c>
      <c r="W692">
        <v>0</v>
      </c>
      <c r="X692">
        <v>24565.08</v>
      </c>
      <c r="Y692">
        <v>2784.25</v>
      </c>
      <c r="Z692">
        <v>0</v>
      </c>
      <c r="AA692">
        <v>0</v>
      </c>
      <c r="AB692">
        <v>1841000</v>
      </c>
      <c r="AC692" t="s">
        <v>251</v>
      </c>
    </row>
    <row r="693" spans="1:29" outlineLevel="1" x14ac:dyDescent="0.2">
      <c r="B693" s="386" t="s">
        <v>2454</v>
      </c>
      <c r="N693">
        <f>SUBTOTAL(9,N692:N692)</f>
        <v>46105.760000000002</v>
      </c>
    </row>
    <row r="694" spans="1:29" outlineLevel="2" x14ac:dyDescent="0.2">
      <c r="A694">
        <v>506</v>
      </c>
      <c r="B694">
        <v>30529461</v>
      </c>
      <c r="C694">
        <v>305294613</v>
      </c>
      <c r="D694" t="s">
        <v>1390</v>
      </c>
      <c r="E694" t="s">
        <v>2231</v>
      </c>
      <c r="F694">
        <v>814000</v>
      </c>
      <c r="G694" t="s">
        <v>2384</v>
      </c>
      <c r="H694">
        <v>90534</v>
      </c>
      <c r="I694">
        <v>1</v>
      </c>
      <c r="J694">
        <v>0</v>
      </c>
      <c r="K694">
        <v>0</v>
      </c>
      <c r="L694">
        <v>0</v>
      </c>
      <c r="M694">
        <v>0</v>
      </c>
      <c r="N694">
        <v>32276.68</v>
      </c>
      <c r="O694">
        <v>4860.2</v>
      </c>
      <c r="P694">
        <v>852.53</v>
      </c>
      <c r="Q694">
        <v>24710.7</v>
      </c>
      <c r="R694">
        <v>0</v>
      </c>
      <c r="S694">
        <v>2822.8</v>
      </c>
      <c r="T694">
        <v>0</v>
      </c>
      <c r="U694">
        <v>0</v>
      </c>
      <c r="V694">
        <v>1016.6</v>
      </c>
      <c r="W694">
        <v>0</v>
      </c>
      <c r="X694">
        <v>20871.3</v>
      </c>
      <c r="Y694">
        <v>1853.25</v>
      </c>
      <c r="Z694">
        <v>0</v>
      </c>
      <c r="AA694">
        <v>0</v>
      </c>
      <c r="AB694">
        <v>1814000</v>
      </c>
      <c r="AC694" t="s">
        <v>251</v>
      </c>
    </row>
    <row r="695" spans="1:29" outlineLevel="1" x14ac:dyDescent="0.2">
      <c r="B695" s="386" t="s">
        <v>2453</v>
      </c>
      <c r="N695">
        <f>SUBTOTAL(9,N694:N694)</f>
        <v>32276.68</v>
      </c>
    </row>
    <row r="696" spans="1:29" outlineLevel="2" x14ac:dyDescent="0.2">
      <c r="A696">
        <v>506</v>
      </c>
      <c r="B696">
        <v>30802134</v>
      </c>
      <c r="C696">
        <v>308021344</v>
      </c>
      <c r="D696" t="s">
        <v>2123</v>
      </c>
      <c r="E696" t="s">
        <v>2120</v>
      </c>
      <c r="F696">
        <v>812201</v>
      </c>
      <c r="G696" t="s">
        <v>2384</v>
      </c>
      <c r="H696">
        <v>90534</v>
      </c>
      <c r="I696">
        <v>1</v>
      </c>
      <c r="J696">
        <v>0</v>
      </c>
      <c r="K696">
        <v>0</v>
      </c>
      <c r="L696">
        <v>0</v>
      </c>
      <c r="M696">
        <v>0</v>
      </c>
      <c r="N696">
        <v>8856.35</v>
      </c>
      <c r="O696">
        <v>840.2</v>
      </c>
      <c r="P696">
        <v>249.25</v>
      </c>
      <c r="Q696">
        <v>7225.05</v>
      </c>
      <c r="R696">
        <v>0</v>
      </c>
      <c r="S696">
        <v>0</v>
      </c>
      <c r="T696">
        <v>0</v>
      </c>
      <c r="U696">
        <v>0</v>
      </c>
      <c r="V696">
        <v>813.3</v>
      </c>
      <c r="W696">
        <v>0</v>
      </c>
      <c r="X696">
        <v>6411.75</v>
      </c>
      <c r="Y696">
        <v>541.85</v>
      </c>
      <c r="Z696">
        <v>0</v>
      </c>
      <c r="AA696">
        <v>0</v>
      </c>
      <c r="AB696">
        <v>1812201</v>
      </c>
      <c r="AC696" t="s">
        <v>251</v>
      </c>
    </row>
    <row r="697" spans="1:29" outlineLevel="1" x14ac:dyDescent="0.2">
      <c r="B697" s="386" t="s">
        <v>2452</v>
      </c>
      <c r="N697">
        <f>SUBTOTAL(9,N696:N696)</f>
        <v>8856.35</v>
      </c>
    </row>
    <row r="698" spans="1:29" outlineLevel="2" x14ac:dyDescent="0.2">
      <c r="A698">
        <v>506</v>
      </c>
      <c r="B698">
        <v>30828943</v>
      </c>
      <c r="C698">
        <v>308289438</v>
      </c>
      <c r="D698" t="s">
        <v>2434</v>
      </c>
      <c r="E698" t="s">
        <v>2435</v>
      </c>
      <c r="F698">
        <v>817800</v>
      </c>
      <c r="G698" t="s">
        <v>2384</v>
      </c>
      <c r="H698">
        <v>90534</v>
      </c>
      <c r="I698">
        <v>1</v>
      </c>
      <c r="J698">
        <v>0</v>
      </c>
      <c r="K698">
        <v>0</v>
      </c>
      <c r="L698">
        <v>0</v>
      </c>
      <c r="M698">
        <v>0</v>
      </c>
      <c r="N698">
        <v>5277.56</v>
      </c>
      <c r="O698">
        <v>546.75</v>
      </c>
      <c r="P698">
        <v>164.11</v>
      </c>
      <c r="Q698">
        <v>4210</v>
      </c>
      <c r="R698">
        <v>0</v>
      </c>
      <c r="S698">
        <v>0</v>
      </c>
      <c r="T698">
        <v>0</v>
      </c>
      <c r="U698">
        <v>0</v>
      </c>
      <c r="V698">
        <v>160</v>
      </c>
      <c r="W698">
        <v>0</v>
      </c>
      <c r="X698">
        <v>4050</v>
      </c>
      <c r="Y698">
        <v>356.7</v>
      </c>
      <c r="Z698">
        <v>0</v>
      </c>
      <c r="AA698">
        <v>0</v>
      </c>
      <c r="AB698">
        <v>1817800</v>
      </c>
      <c r="AC698" t="s">
        <v>251</v>
      </c>
    </row>
    <row r="699" spans="1:29" outlineLevel="1" x14ac:dyDescent="0.2">
      <c r="B699" s="386" t="s">
        <v>2451</v>
      </c>
      <c r="N699">
        <f>SUBTOTAL(9,N698:N698)</f>
        <v>5277.56</v>
      </c>
    </row>
    <row r="700" spans="1:29" outlineLevel="2" x14ac:dyDescent="0.2">
      <c r="A700">
        <v>506</v>
      </c>
      <c r="B700">
        <v>30854360</v>
      </c>
      <c r="C700">
        <v>308543602</v>
      </c>
      <c r="D700" t="s">
        <v>2313</v>
      </c>
      <c r="E700" t="s">
        <v>2314</v>
      </c>
      <c r="F700">
        <v>841000</v>
      </c>
      <c r="G700" t="s">
        <v>2384</v>
      </c>
      <c r="H700">
        <v>90534</v>
      </c>
      <c r="I700">
        <v>0</v>
      </c>
      <c r="J700">
        <v>86</v>
      </c>
      <c r="K700">
        <v>2</v>
      </c>
      <c r="L700">
        <v>2</v>
      </c>
      <c r="M700">
        <v>500</v>
      </c>
      <c r="N700">
        <v>54972.84</v>
      </c>
      <c r="O700">
        <v>6404.9</v>
      </c>
      <c r="P700">
        <v>1721.08</v>
      </c>
      <c r="Q700">
        <v>43550.61</v>
      </c>
      <c r="R700">
        <v>0</v>
      </c>
      <c r="S700">
        <v>0</v>
      </c>
      <c r="T700">
        <v>1482</v>
      </c>
      <c r="U700">
        <v>3850</v>
      </c>
      <c r="V700">
        <v>6392.55</v>
      </c>
      <c r="W700">
        <v>0</v>
      </c>
      <c r="X700">
        <v>31826.06</v>
      </c>
      <c r="Y700">
        <v>3296.25</v>
      </c>
      <c r="Z700">
        <v>0</v>
      </c>
      <c r="AA700">
        <v>0</v>
      </c>
      <c r="AB700">
        <v>1841000</v>
      </c>
      <c r="AC700" t="s">
        <v>251</v>
      </c>
    </row>
    <row r="701" spans="1:29" outlineLevel="1" x14ac:dyDescent="0.2">
      <c r="B701" s="386" t="s">
        <v>2450</v>
      </c>
      <c r="N701">
        <f>SUBTOTAL(9,N700:N700)</f>
        <v>54972.84</v>
      </c>
    </row>
    <row r="702" spans="1:29" outlineLevel="2" x14ac:dyDescent="0.2">
      <c r="A702">
        <v>506</v>
      </c>
      <c r="B702">
        <v>30993796</v>
      </c>
      <c r="C702">
        <v>309937969</v>
      </c>
      <c r="D702" t="s">
        <v>2401</v>
      </c>
      <c r="E702" t="s">
        <v>2402</v>
      </c>
      <c r="F702">
        <v>813320</v>
      </c>
      <c r="G702" t="s">
        <v>2384</v>
      </c>
      <c r="H702">
        <v>90534</v>
      </c>
      <c r="I702">
        <v>1</v>
      </c>
      <c r="J702">
        <v>0</v>
      </c>
      <c r="K702">
        <v>0</v>
      </c>
      <c r="L702">
        <v>0</v>
      </c>
      <c r="M702">
        <v>0</v>
      </c>
      <c r="N702">
        <v>2314.84</v>
      </c>
      <c r="O702">
        <v>235.95</v>
      </c>
      <c r="P702">
        <v>64.64</v>
      </c>
      <c r="Q702">
        <v>1873.7</v>
      </c>
      <c r="R702">
        <v>0</v>
      </c>
      <c r="S702">
        <v>0</v>
      </c>
      <c r="T702">
        <v>0</v>
      </c>
      <c r="U702">
        <v>0</v>
      </c>
      <c r="V702">
        <v>125.85</v>
      </c>
      <c r="W702">
        <v>0</v>
      </c>
      <c r="X702">
        <v>1747.85</v>
      </c>
      <c r="Y702">
        <v>140.55000000000001</v>
      </c>
      <c r="Z702">
        <v>0</v>
      </c>
      <c r="AA702">
        <v>0</v>
      </c>
      <c r="AB702">
        <v>1813320</v>
      </c>
      <c r="AC702" t="s">
        <v>251</v>
      </c>
    </row>
    <row r="703" spans="1:29" outlineLevel="1" x14ac:dyDescent="0.2">
      <c r="B703" s="386" t="s">
        <v>2449</v>
      </c>
      <c r="N703">
        <f>SUBTOTAL(9,N702:N702)</f>
        <v>2314.84</v>
      </c>
    </row>
    <row r="704" spans="1:29" outlineLevel="2" x14ac:dyDescent="0.2">
      <c r="A704">
        <v>506</v>
      </c>
      <c r="B704">
        <v>31257635</v>
      </c>
      <c r="C704">
        <v>312576358</v>
      </c>
      <c r="D704" t="s">
        <v>2173</v>
      </c>
      <c r="E704" t="s">
        <v>2418</v>
      </c>
      <c r="F704">
        <v>815200</v>
      </c>
      <c r="G704" t="s">
        <v>2384</v>
      </c>
      <c r="H704">
        <v>90534</v>
      </c>
      <c r="I704">
        <v>0</v>
      </c>
      <c r="J704">
        <v>73</v>
      </c>
      <c r="K704">
        <v>3</v>
      </c>
      <c r="L704">
        <v>0</v>
      </c>
      <c r="M704">
        <v>469.6</v>
      </c>
      <c r="N704">
        <v>31400.33</v>
      </c>
      <c r="O704">
        <v>3295.5</v>
      </c>
      <c r="P704">
        <v>976.42</v>
      </c>
      <c r="Q704">
        <v>25005.81</v>
      </c>
      <c r="R704">
        <v>0</v>
      </c>
      <c r="S704">
        <v>0</v>
      </c>
      <c r="T704">
        <v>884.7</v>
      </c>
      <c r="U704">
        <v>0</v>
      </c>
      <c r="V704">
        <v>596.29999999999995</v>
      </c>
      <c r="W704">
        <v>0</v>
      </c>
      <c r="X704">
        <v>23524.81</v>
      </c>
      <c r="Y704">
        <v>2122.6</v>
      </c>
      <c r="Z704">
        <v>0</v>
      </c>
      <c r="AA704">
        <v>0</v>
      </c>
      <c r="AB704">
        <v>1815200</v>
      </c>
      <c r="AC704" t="s">
        <v>251</v>
      </c>
    </row>
    <row r="705" spans="1:29" outlineLevel="1" x14ac:dyDescent="0.2">
      <c r="B705" s="386" t="s">
        <v>2448</v>
      </c>
      <c r="N705">
        <f>SUBTOTAL(9,N704:N704)</f>
        <v>31400.33</v>
      </c>
    </row>
    <row r="706" spans="1:29" outlineLevel="2" x14ac:dyDescent="0.2">
      <c r="A706">
        <v>506</v>
      </c>
      <c r="B706">
        <v>31501922</v>
      </c>
      <c r="C706">
        <v>315019224</v>
      </c>
      <c r="D706" t="s">
        <v>2123</v>
      </c>
      <c r="E706" t="s">
        <v>2400</v>
      </c>
      <c r="F706">
        <v>813310</v>
      </c>
      <c r="G706" t="s">
        <v>2384</v>
      </c>
      <c r="H706">
        <v>90534</v>
      </c>
      <c r="I706">
        <v>1</v>
      </c>
      <c r="J706">
        <v>0</v>
      </c>
      <c r="K706">
        <v>0</v>
      </c>
      <c r="L706">
        <v>0</v>
      </c>
      <c r="M706">
        <v>0</v>
      </c>
      <c r="N706">
        <v>20556.98</v>
      </c>
      <c r="O706">
        <v>2175.8000000000002</v>
      </c>
      <c r="P706">
        <v>571.58000000000004</v>
      </c>
      <c r="Q706">
        <v>16567.099999999999</v>
      </c>
      <c r="R706">
        <v>0</v>
      </c>
      <c r="S706">
        <v>1976.25</v>
      </c>
      <c r="T706">
        <v>0</v>
      </c>
      <c r="U706">
        <v>0</v>
      </c>
      <c r="V706">
        <v>0</v>
      </c>
      <c r="W706">
        <v>0</v>
      </c>
      <c r="X706">
        <v>14590.85</v>
      </c>
      <c r="Y706">
        <v>1242.5</v>
      </c>
      <c r="Z706">
        <v>0</v>
      </c>
      <c r="AA706">
        <v>0</v>
      </c>
      <c r="AB706">
        <v>1813310</v>
      </c>
      <c r="AC706" t="s">
        <v>251</v>
      </c>
    </row>
    <row r="707" spans="1:29" outlineLevel="1" x14ac:dyDescent="0.2">
      <c r="B707" s="386" t="s">
        <v>2447</v>
      </c>
      <c r="N707">
        <f>SUBTOTAL(9,N706:N706)</f>
        <v>20556.98</v>
      </c>
    </row>
    <row r="708" spans="1:29" outlineLevel="2" x14ac:dyDescent="0.2">
      <c r="A708">
        <v>506</v>
      </c>
      <c r="B708">
        <v>31795457</v>
      </c>
      <c r="C708">
        <v>317954576</v>
      </c>
      <c r="D708" t="s">
        <v>2159</v>
      </c>
      <c r="E708" t="s">
        <v>2160</v>
      </c>
      <c r="F708">
        <v>812508</v>
      </c>
      <c r="G708" t="s">
        <v>2384</v>
      </c>
      <c r="H708">
        <v>90534</v>
      </c>
      <c r="I708">
        <v>1</v>
      </c>
      <c r="J708">
        <v>0</v>
      </c>
      <c r="K708">
        <v>0</v>
      </c>
      <c r="L708">
        <v>0</v>
      </c>
      <c r="M708">
        <v>0</v>
      </c>
      <c r="N708">
        <v>425.59</v>
      </c>
      <c r="O708">
        <v>67.739999999999995</v>
      </c>
      <c r="P708">
        <v>11.12</v>
      </c>
      <c r="Q708">
        <v>322.55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322.55</v>
      </c>
      <c r="Y708">
        <v>24.18</v>
      </c>
      <c r="Z708">
        <v>0</v>
      </c>
      <c r="AA708">
        <v>0</v>
      </c>
      <c r="AB708">
        <v>1812508</v>
      </c>
      <c r="AC708" t="s">
        <v>251</v>
      </c>
    </row>
    <row r="709" spans="1:29" outlineLevel="2" x14ac:dyDescent="0.2">
      <c r="A709">
        <v>506</v>
      </c>
      <c r="B709">
        <v>31795457</v>
      </c>
      <c r="C709">
        <v>317954576</v>
      </c>
      <c r="D709" t="s">
        <v>2159</v>
      </c>
      <c r="E709" t="s">
        <v>2160</v>
      </c>
      <c r="F709">
        <v>813300</v>
      </c>
      <c r="G709" t="s">
        <v>2384</v>
      </c>
      <c r="H709">
        <v>90534</v>
      </c>
      <c r="I709">
        <v>1</v>
      </c>
      <c r="J709">
        <v>0</v>
      </c>
      <c r="K709">
        <v>0</v>
      </c>
      <c r="L709">
        <v>0</v>
      </c>
      <c r="M709">
        <v>0</v>
      </c>
      <c r="N709">
        <v>27571.759999999998</v>
      </c>
      <c r="O709">
        <v>4135.7</v>
      </c>
      <c r="P709">
        <v>728.76</v>
      </c>
      <c r="Q709">
        <v>21123.05</v>
      </c>
      <c r="R709">
        <v>0</v>
      </c>
      <c r="S709">
        <v>2050.5</v>
      </c>
      <c r="T709">
        <v>0</v>
      </c>
      <c r="U709">
        <v>0</v>
      </c>
      <c r="V709">
        <v>987.5</v>
      </c>
      <c r="W709">
        <v>0</v>
      </c>
      <c r="X709">
        <v>18085.05</v>
      </c>
      <c r="Y709">
        <v>1584.25</v>
      </c>
      <c r="Z709">
        <v>0</v>
      </c>
      <c r="AA709">
        <v>0</v>
      </c>
      <c r="AB709">
        <v>1813300</v>
      </c>
      <c r="AC709" t="s">
        <v>251</v>
      </c>
    </row>
    <row r="710" spans="1:29" outlineLevel="2" x14ac:dyDescent="0.2">
      <c r="A710">
        <v>506</v>
      </c>
      <c r="B710">
        <v>31795457</v>
      </c>
      <c r="C710">
        <v>317954576</v>
      </c>
      <c r="D710" t="s">
        <v>2159</v>
      </c>
      <c r="E710" t="s">
        <v>2160</v>
      </c>
      <c r="F710">
        <v>813310</v>
      </c>
      <c r="G710" t="s">
        <v>2384</v>
      </c>
      <c r="H710">
        <v>90534</v>
      </c>
      <c r="I710">
        <v>1</v>
      </c>
      <c r="J710">
        <v>0</v>
      </c>
      <c r="K710">
        <v>0</v>
      </c>
      <c r="L710">
        <v>0</v>
      </c>
      <c r="M710">
        <v>0</v>
      </c>
      <c r="N710">
        <v>1488.22</v>
      </c>
      <c r="O710">
        <v>220.11</v>
      </c>
      <c r="P710">
        <v>39.44</v>
      </c>
      <c r="Q710">
        <v>1142.95</v>
      </c>
      <c r="R710">
        <v>0</v>
      </c>
      <c r="S710">
        <v>0</v>
      </c>
      <c r="T710">
        <v>0</v>
      </c>
      <c r="U710">
        <v>0</v>
      </c>
      <c r="V710">
        <v>94.65</v>
      </c>
      <c r="W710">
        <v>0</v>
      </c>
      <c r="X710">
        <v>1048.3</v>
      </c>
      <c r="Y710">
        <v>85.72</v>
      </c>
      <c r="Z710">
        <v>0</v>
      </c>
      <c r="AA710">
        <v>0</v>
      </c>
      <c r="AB710">
        <v>1813310</v>
      </c>
      <c r="AC710" t="s">
        <v>251</v>
      </c>
    </row>
    <row r="711" spans="1:29" outlineLevel="1" x14ac:dyDescent="0.2">
      <c r="B711" s="386" t="s">
        <v>2446</v>
      </c>
      <c r="N711">
        <f>SUBTOTAL(9,N708:N710)</f>
        <v>29485.57</v>
      </c>
    </row>
    <row r="712" spans="1:29" outlineLevel="2" x14ac:dyDescent="0.2">
      <c r="A712">
        <v>506</v>
      </c>
      <c r="B712">
        <v>31795462</v>
      </c>
      <c r="C712">
        <v>317954626</v>
      </c>
      <c r="D712" t="s">
        <v>2164</v>
      </c>
      <c r="E712" t="s">
        <v>2295</v>
      </c>
      <c r="F712">
        <v>813301</v>
      </c>
      <c r="G712" t="s">
        <v>2384</v>
      </c>
      <c r="H712">
        <v>90534</v>
      </c>
      <c r="I712">
        <v>1</v>
      </c>
      <c r="J712">
        <v>0</v>
      </c>
      <c r="K712">
        <v>0</v>
      </c>
      <c r="L712">
        <v>0</v>
      </c>
      <c r="M712">
        <v>0</v>
      </c>
      <c r="N712">
        <v>2036.73</v>
      </c>
      <c r="O712">
        <v>310.5</v>
      </c>
      <c r="P712">
        <v>53.68</v>
      </c>
      <c r="Q712">
        <v>1555.85</v>
      </c>
      <c r="R712">
        <v>0</v>
      </c>
      <c r="S712">
        <v>0</v>
      </c>
      <c r="T712">
        <v>0</v>
      </c>
      <c r="U712">
        <v>0</v>
      </c>
      <c r="V712">
        <v>77.45</v>
      </c>
      <c r="W712">
        <v>0</v>
      </c>
      <c r="X712">
        <v>1478.4</v>
      </c>
      <c r="Y712">
        <v>116.7</v>
      </c>
      <c r="Z712">
        <v>0</v>
      </c>
      <c r="AA712">
        <v>0</v>
      </c>
      <c r="AB712">
        <v>1813301</v>
      </c>
      <c r="AC712" t="s">
        <v>251</v>
      </c>
    </row>
    <row r="713" spans="1:29" outlineLevel="2" x14ac:dyDescent="0.2">
      <c r="A713">
        <v>506</v>
      </c>
      <c r="B713">
        <v>31795462</v>
      </c>
      <c r="C713">
        <v>317954626</v>
      </c>
      <c r="D713" t="s">
        <v>2164</v>
      </c>
      <c r="E713" t="s">
        <v>2295</v>
      </c>
      <c r="F713">
        <v>813320</v>
      </c>
      <c r="G713" t="s">
        <v>2384</v>
      </c>
      <c r="H713">
        <v>90534</v>
      </c>
      <c r="I713">
        <v>1</v>
      </c>
      <c r="J713">
        <v>0</v>
      </c>
      <c r="K713">
        <v>0</v>
      </c>
      <c r="L713">
        <v>0</v>
      </c>
      <c r="M713">
        <v>0</v>
      </c>
      <c r="N713">
        <v>46798.01</v>
      </c>
      <c r="O713">
        <v>7156.2</v>
      </c>
      <c r="P713">
        <v>1232.6600000000001</v>
      </c>
      <c r="Q713">
        <v>35729.4</v>
      </c>
      <c r="R713">
        <v>0</v>
      </c>
      <c r="S713">
        <v>3781.45</v>
      </c>
      <c r="T713">
        <v>0</v>
      </c>
      <c r="U713">
        <v>0</v>
      </c>
      <c r="V713">
        <v>1161.8</v>
      </c>
      <c r="W713">
        <v>0</v>
      </c>
      <c r="X713">
        <v>30786.15</v>
      </c>
      <c r="Y713">
        <v>2679.75</v>
      </c>
      <c r="Z713">
        <v>0</v>
      </c>
      <c r="AA713">
        <v>0</v>
      </c>
      <c r="AB713">
        <v>1813320</v>
      </c>
      <c r="AC713" t="s">
        <v>251</v>
      </c>
    </row>
    <row r="714" spans="1:29" outlineLevel="1" x14ac:dyDescent="0.2">
      <c r="B714" s="386" t="s">
        <v>2445</v>
      </c>
      <c r="N714">
        <f>SUBTOTAL(9,N712:N713)</f>
        <v>48834.740000000005</v>
      </c>
    </row>
    <row r="715" spans="1:29" outlineLevel="2" x14ac:dyDescent="0.2">
      <c r="A715">
        <v>506</v>
      </c>
      <c r="B715">
        <v>32163602</v>
      </c>
      <c r="C715">
        <v>321636029</v>
      </c>
      <c r="D715" t="s">
        <v>1374</v>
      </c>
      <c r="E715" t="s">
        <v>2215</v>
      </c>
      <c r="F715">
        <v>813320</v>
      </c>
      <c r="G715" t="s">
        <v>2384</v>
      </c>
      <c r="H715">
        <v>90534</v>
      </c>
      <c r="I715">
        <v>1</v>
      </c>
      <c r="J715">
        <v>0</v>
      </c>
      <c r="K715">
        <v>0</v>
      </c>
      <c r="L715">
        <v>0</v>
      </c>
      <c r="M715">
        <v>0</v>
      </c>
      <c r="N715">
        <v>35261.01</v>
      </c>
      <c r="O715">
        <v>3750.5</v>
      </c>
      <c r="P715">
        <v>979.81</v>
      </c>
      <c r="Q715">
        <v>28400.6</v>
      </c>
      <c r="R715">
        <v>0</v>
      </c>
      <c r="S715">
        <v>3088.3</v>
      </c>
      <c r="T715">
        <v>0</v>
      </c>
      <c r="U715">
        <v>0</v>
      </c>
      <c r="V715">
        <v>0</v>
      </c>
      <c r="W715">
        <v>0</v>
      </c>
      <c r="X715">
        <v>25312.3</v>
      </c>
      <c r="Y715">
        <v>2130.1</v>
      </c>
      <c r="Z715">
        <v>0</v>
      </c>
      <c r="AA715">
        <v>0</v>
      </c>
      <c r="AB715">
        <v>1813320</v>
      </c>
      <c r="AC715" t="s">
        <v>251</v>
      </c>
    </row>
    <row r="716" spans="1:29" outlineLevel="1" x14ac:dyDescent="0.2">
      <c r="B716" s="386" t="s">
        <v>2444</v>
      </c>
      <c r="N716">
        <f>SUBTOTAL(9,N715:N715)</f>
        <v>35261.01</v>
      </c>
    </row>
    <row r="717" spans="1:29" outlineLevel="2" x14ac:dyDescent="0.2">
      <c r="A717">
        <v>506</v>
      </c>
      <c r="B717">
        <v>32169137</v>
      </c>
      <c r="C717">
        <v>321691370</v>
      </c>
      <c r="D717" t="s">
        <v>2164</v>
      </c>
      <c r="E717" t="s">
        <v>2199</v>
      </c>
      <c r="F717">
        <v>813320</v>
      </c>
      <c r="G717" t="s">
        <v>2384</v>
      </c>
      <c r="H717">
        <v>90534</v>
      </c>
      <c r="I717">
        <v>1</v>
      </c>
      <c r="J717">
        <v>0</v>
      </c>
      <c r="K717">
        <v>0</v>
      </c>
      <c r="L717">
        <v>0</v>
      </c>
      <c r="M717">
        <v>0</v>
      </c>
      <c r="N717">
        <v>3159.75</v>
      </c>
      <c r="O717">
        <v>315.7</v>
      </c>
      <c r="P717">
        <v>98.25</v>
      </c>
      <c r="Q717">
        <v>2532.1999999999998</v>
      </c>
      <c r="R717">
        <v>0</v>
      </c>
      <c r="S717">
        <v>0</v>
      </c>
      <c r="T717">
        <v>0</v>
      </c>
      <c r="U717">
        <v>0</v>
      </c>
      <c r="V717">
        <v>193.65</v>
      </c>
      <c r="W717">
        <v>0</v>
      </c>
      <c r="X717">
        <v>2338.5500000000002</v>
      </c>
      <c r="Y717">
        <v>213.6</v>
      </c>
      <c r="Z717">
        <v>0</v>
      </c>
      <c r="AA717">
        <v>0</v>
      </c>
      <c r="AB717">
        <v>1813320</v>
      </c>
      <c r="AC717" t="s">
        <v>251</v>
      </c>
    </row>
    <row r="718" spans="1:29" outlineLevel="1" x14ac:dyDescent="0.2">
      <c r="B718" s="386" t="s">
        <v>2443</v>
      </c>
      <c r="N718">
        <f>SUBTOTAL(9,N717:N717)</f>
        <v>3159.75</v>
      </c>
    </row>
    <row r="719" spans="1:29" outlineLevel="2" x14ac:dyDescent="0.2">
      <c r="A719">
        <v>506</v>
      </c>
      <c r="B719">
        <v>32371500</v>
      </c>
      <c r="C719">
        <v>323715003</v>
      </c>
      <c r="D719" t="s">
        <v>2216</v>
      </c>
      <c r="E719" t="s">
        <v>2217</v>
      </c>
      <c r="F719">
        <v>813320</v>
      </c>
      <c r="G719" t="s">
        <v>2384</v>
      </c>
      <c r="H719">
        <v>90534</v>
      </c>
      <c r="I719">
        <v>1</v>
      </c>
      <c r="J719">
        <v>0</v>
      </c>
      <c r="K719">
        <v>0</v>
      </c>
      <c r="L719">
        <v>0</v>
      </c>
      <c r="M719">
        <v>0</v>
      </c>
      <c r="N719">
        <v>3060.96</v>
      </c>
      <c r="O719">
        <v>315.7</v>
      </c>
      <c r="P719">
        <v>85.36</v>
      </c>
      <c r="Q719">
        <v>2474.3000000000002</v>
      </c>
      <c r="R719">
        <v>0</v>
      </c>
      <c r="S719">
        <v>0</v>
      </c>
      <c r="T719">
        <v>0</v>
      </c>
      <c r="U719">
        <v>0</v>
      </c>
      <c r="V719">
        <v>135.55000000000001</v>
      </c>
      <c r="W719">
        <v>0</v>
      </c>
      <c r="X719">
        <v>2338.75</v>
      </c>
      <c r="Y719">
        <v>185.6</v>
      </c>
      <c r="Z719">
        <v>0</v>
      </c>
      <c r="AA719">
        <v>0</v>
      </c>
      <c r="AB719">
        <v>1813320</v>
      </c>
      <c r="AC719" t="s">
        <v>251</v>
      </c>
    </row>
    <row r="720" spans="1:29" outlineLevel="1" x14ac:dyDescent="0.2">
      <c r="B720" s="386" t="s">
        <v>2442</v>
      </c>
      <c r="N720">
        <f>SUBTOTAL(9,N719:N719)</f>
        <v>3060.96</v>
      </c>
    </row>
    <row r="721" spans="1:29" outlineLevel="2" x14ac:dyDescent="0.2">
      <c r="A721">
        <v>506</v>
      </c>
      <c r="B721">
        <v>304758634</v>
      </c>
      <c r="C721">
        <v>304758634</v>
      </c>
      <c r="D721" t="s">
        <v>2196</v>
      </c>
      <c r="E721" t="s">
        <v>1557</v>
      </c>
      <c r="F721">
        <v>813300</v>
      </c>
      <c r="G721" t="s">
        <v>2384</v>
      </c>
      <c r="H721">
        <v>90534</v>
      </c>
      <c r="I721">
        <v>0</v>
      </c>
      <c r="J721">
        <v>5</v>
      </c>
      <c r="K721">
        <v>6</v>
      </c>
      <c r="L721">
        <v>0</v>
      </c>
      <c r="M721">
        <v>720</v>
      </c>
      <c r="N721">
        <v>59772.22</v>
      </c>
      <c r="O721">
        <v>10025.15</v>
      </c>
      <c r="P721">
        <v>1547.92</v>
      </c>
      <c r="Q721">
        <v>44836.4</v>
      </c>
      <c r="R721">
        <v>0</v>
      </c>
      <c r="S721">
        <v>3904</v>
      </c>
      <c r="T721">
        <v>0</v>
      </c>
      <c r="U721">
        <v>0</v>
      </c>
      <c r="V721">
        <v>1371</v>
      </c>
      <c r="W721">
        <v>0</v>
      </c>
      <c r="X721">
        <v>39561.4</v>
      </c>
      <c r="Y721">
        <v>3362.75</v>
      </c>
      <c r="Z721">
        <v>0</v>
      </c>
      <c r="AA721">
        <v>0</v>
      </c>
      <c r="AB721">
        <v>1813300</v>
      </c>
      <c r="AC721" t="s">
        <v>251</v>
      </c>
    </row>
    <row r="722" spans="1:29" outlineLevel="1" x14ac:dyDescent="0.2">
      <c r="B722" s="386" t="s">
        <v>2441</v>
      </c>
      <c r="N722">
        <f>SUBTOTAL(9,N721:N721)</f>
        <v>59772.22</v>
      </c>
    </row>
    <row r="723" spans="1:29" x14ac:dyDescent="0.2">
      <c r="B723" s="386" t="s">
        <v>2382</v>
      </c>
      <c r="N723">
        <f>SUBTOTAL(9,N2:N721)</f>
        <v>17864814.630000018</v>
      </c>
    </row>
  </sheetData>
  <autoFilter ref="A1:AG721"/>
  <sortState ref="A2:AC723">
    <sortCondition ref="B1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330"/>
  <sheetViews>
    <sheetView rightToLeft="1" topLeftCell="A300" workbookViewId="0">
      <selection activeCell="B3" sqref="B3:B323"/>
    </sheetView>
  </sheetViews>
  <sheetFormatPr defaultRowHeight="12.75" x14ac:dyDescent="0.2"/>
  <cols>
    <col min="1" max="1" width="14.28515625" style="1063" bestFit="1" customWidth="1"/>
    <col min="2" max="2" width="17.5703125" bestFit="1" customWidth="1"/>
  </cols>
  <sheetData>
    <row r="2" spans="1:7" x14ac:dyDescent="0.2">
      <c r="A2" s="1063" t="s">
        <v>2081</v>
      </c>
      <c r="B2" t="s">
        <v>2091</v>
      </c>
      <c r="G2" s="196" t="s">
        <v>2768</v>
      </c>
    </row>
    <row r="3" spans="1:7" x14ac:dyDescent="0.2">
      <c r="A3" s="1068">
        <v>1153750</v>
      </c>
      <c r="B3">
        <v>5994.88</v>
      </c>
      <c r="G3" t="str">
        <f>VLOOKUP(A3,שכר!B$2:$E368,3,FALSE)</f>
        <v xml:space="preserve">סקר </v>
      </c>
    </row>
    <row r="4" spans="1:7" hidden="1" x14ac:dyDescent="0.2">
      <c r="A4" s="1065">
        <v>2012818</v>
      </c>
      <c r="B4">
        <v>23646.75</v>
      </c>
      <c r="G4" t="e">
        <f>VLOOKUP(A4,שכר!B$2:$E369,3,FALSE)</f>
        <v>#N/A</v>
      </c>
    </row>
    <row r="5" spans="1:7" hidden="1" x14ac:dyDescent="0.2">
      <c r="A5" s="1066">
        <v>2013203</v>
      </c>
      <c r="B5">
        <v>28679.25</v>
      </c>
      <c r="G5" t="e">
        <f>VLOOKUP(A5,שכר!B$2:$E370,3,FALSE)</f>
        <v>#N/A</v>
      </c>
    </row>
    <row r="6" spans="1:7" hidden="1" x14ac:dyDescent="0.2">
      <c r="A6" s="1066">
        <v>2013214</v>
      </c>
      <c r="B6">
        <v>11288.7</v>
      </c>
      <c r="G6" t="e">
        <f>VLOOKUP(A6,שכר!B$2:$E371,3,FALSE)</f>
        <v>#N/A</v>
      </c>
    </row>
    <row r="7" spans="1:7" hidden="1" x14ac:dyDescent="0.2">
      <c r="A7" s="1066">
        <v>2016633</v>
      </c>
      <c r="B7">
        <v>12717.25</v>
      </c>
      <c r="G7" t="e">
        <f>VLOOKUP(A7,שכר!B$2:$E372,3,FALSE)</f>
        <v>#N/A</v>
      </c>
    </row>
    <row r="8" spans="1:7" hidden="1" x14ac:dyDescent="0.2">
      <c r="A8" s="1066">
        <v>2016799</v>
      </c>
      <c r="B8">
        <v>36985.9</v>
      </c>
      <c r="G8" t="e">
        <f>VLOOKUP(A8,שכר!B$2:$E373,3,FALSE)</f>
        <v>#N/A</v>
      </c>
    </row>
    <row r="9" spans="1:7" hidden="1" x14ac:dyDescent="0.2">
      <c r="A9" s="1064">
        <v>2016851</v>
      </c>
      <c r="B9">
        <v>37672.949999999997</v>
      </c>
      <c r="G9" t="e">
        <f>VLOOKUP(A9,שכר!B$2:$E374,3,FALSE)</f>
        <v>#N/A</v>
      </c>
    </row>
    <row r="10" spans="1:7" hidden="1" x14ac:dyDescent="0.2">
      <c r="A10" s="1067">
        <v>2016883</v>
      </c>
      <c r="B10">
        <v>27070.2</v>
      </c>
      <c r="G10" t="e">
        <f>VLOOKUP(A10,שכר!B$2:$E375,3,FALSE)</f>
        <v>#N/A</v>
      </c>
    </row>
    <row r="11" spans="1:7" hidden="1" x14ac:dyDescent="0.2">
      <c r="A11" s="1064">
        <v>2016962</v>
      </c>
      <c r="B11">
        <v>62982.45</v>
      </c>
      <c r="G11" t="e">
        <f>VLOOKUP(A11,שכר!B$2:$E381,3,FALSE)</f>
        <v>#N/A</v>
      </c>
    </row>
    <row r="12" spans="1:7" hidden="1" x14ac:dyDescent="0.2">
      <c r="A12" s="1066">
        <v>2016970</v>
      </c>
      <c r="B12">
        <v>18479.400000000001</v>
      </c>
      <c r="G12" t="e">
        <f>VLOOKUP(A12,שכר!B$2:$E382,3,FALSE)</f>
        <v>#N/A</v>
      </c>
    </row>
    <row r="13" spans="1:7" hidden="1" x14ac:dyDescent="0.2">
      <c r="A13" s="1066">
        <v>2016977</v>
      </c>
      <c r="B13">
        <v>35836.5</v>
      </c>
      <c r="G13" t="e">
        <f>VLOOKUP(A13,שכר!B$2:$E383,3,FALSE)</f>
        <v>#N/A</v>
      </c>
    </row>
    <row r="14" spans="1:7" x14ac:dyDescent="0.2">
      <c r="A14" s="1069">
        <v>2021112</v>
      </c>
      <c r="B14">
        <v>34069.5</v>
      </c>
      <c r="G14" t="e">
        <f>VLOOKUP(A14,שכר!B$2:$E384,3,FALSE)</f>
        <v>#N/A</v>
      </c>
    </row>
    <row r="15" spans="1:7" hidden="1" x14ac:dyDescent="0.2">
      <c r="A15" s="1066">
        <v>2021139</v>
      </c>
      <c r="B15">
        <v>17992.849999999999</v>
      </c>
      <c r="G15" t="e">
        <f>VLOOKUP(A15,שכר!B$2:$E384,3,FALSE)</f>
        <v>#N/A</v>
      </c>
    </row>
    <row r="16" spans="1:7" hidden="1" x14ac:dyDescent="0.2">
      <c r="A16" s="1066">
        <v>2021141</v>
      </c>
      <c r="B16">
        <v>86348.5</v>
      </c>
      <c r="G16" t="e">
        <f>VLOOKUP(A16,שכר!B$2:$E386,3,FALSE)</f>
        <v>#N/A</v>
      </c>
    </row>
    <row r="17" spans="1:7" hidden="1" x14ac:dyDescent="0.2">
      <c r="A17" s="1066">
        <v>2021217</v>
      </c>
      <c r="B17">
        <v>143472.6</v>
      </c>
      <c r="G17" t="e">
        <f>VLOOKUP(A17,שכר!B$2:$E387,3,FALSE)</f>
        <v>#N/A</v>
      </c>
    </row>
    <row r="18" spans="1:7" hidden="1" x14ac:dyDescent="0.2">
      <c r="A18" s="1066">
        <v>2021259</v>
      </c>
      <c r="B18">
        <v>7742.46</v>
      </c>
      <c r="G18" t="e">
        <f>VLOOKUP(A18,שכר!B$2:$E388,3,FALSE)</f>
        <v>#N/A</v>
      </c>
    </row>
    <row r="19" spans="1:7" x14ac:dyDescent="0.2">
      <c r="A19" s="1069">
        <v>2021321</v>
      </c>
      <c r="B19">
        <v>14930.2</v>
      </c>
      <c r="G19" t="e">
        <f>VLOOKUP(A19,שכר!B$2:$E390,3,FALSE)</f>
        <v>#N/A</v>
      </c>
    </row>
    <row r="20" spans="1:7" hidden="1" x14ac:dyDescent="0.2">
      <c r="A20" s="1066">
        <v>2021340</v>
      </c>
      <c r="B20">
        <v>16629.5</v>
      </c>
      <c r="G20" t="e">
        <f>VLOOKUP(A20,שכר!B$2:$E391,3,FALSE)</f>
        <v>#N/A</v>
      </c>
    </row>
    <row r="21" spans="1:7" hidden="1" x14ac:dyDescent="0.2">
      <c r="A21" s="1066">
        <v>2021420</v>
      </c>
      <c r="B21">
        <v>10906</v>
      </c>
      <c r="G21" t="e">
        <f>VLOOKUP(A21,שכר!B$2:$E392,3,FALSE)</f>
        <v>#N/A</v>
      </c>
    </row>
    <row r="22" spans="1:7" hidden="1" x14ac:dyDescent="0.2">
      <c r="A22" s="1066">
        <v>2021475</v>
      </c>
      <c r="B22">
        <v>38410.400000000001</v>
      </c>
      <c r="G22" t="e">
        <f>VLOOKUP(A22,שכר!B$2:$E393,3,FALSE)</f>
        <v>#N/A</v>
      </c>
    </row>
    <row r="23" spans="1:7" hidden="1" x14ac:dyDescent="0.2">
      <c r="A23" s="1066">
        <v>2021476</v>
      </c>
      <c r="B23">
        <v>18712.3</v>
      </c>
      <c r="G23" t="e">
        <f>VLOOKUP(A23,שכר!B$2:$E395,3,FALSE)</f>
        <v>#N/A</v>
      </c>
    </row>
    <row r="24" spans="1:7" hidden="1" x14ac:dyDescent="0.2">
      <c r="A24" s="1066">
        <v>2021542</v>
      </c>
      <c r="B24">
        <v>27991.25</v>
      </c>
      <c r="G24" t="e">
        <f>VLOOKUP(A24,שכר!B$2:$E396,3,FALSE)</f>
        <v>#N/A</v>
      </c>
    </row>
    <row r="25" spans="1:7" hidden="1" x14ac:dyDescent="0.2">
      <c r="A25" s="1066">
        <v>2021543</v>
      </c>
      <c r="B25">
        <v>18622.3</v>
      </c>
      <c r="G25" t="e">
        <f>VLOOKUP(A25,שכר!B$2:$E397,3,FALSE)</f>
        <v>#N/A</v>
      </c>
    </row>
    <row r="26" spans="1:7" x14ac:dyDescent="0.2">
      <c r="A26" s="1069">
        <v>2021588</v>
      </c>
      <c r="B26">
        <v>1695.1</v>
      </c>
      <c r="G26" t="e">
        <f>VLOOKUP(A26,שכר!B$2:$E400,3,FALSE)</f>
        <v>#N/A</v>
      </c>
    </row>
    <row r="27" spans="1:7" hidden="1" x14ac:dyDescent="0.2">
      <c r="A27" s="1066">
        <v>2021625</v>
      </c>
      <c r="B27">
        <v>22252.45</v>
      </c>
      <c r="G27" t="e">
        <f>VLOOKUP(A27,שכר!B$2:$E401,3,FALSE)</f>
        <v>#N/A</v>
      </c>
    </row>
    <row r="28" spans="1:7" hidden="1" x14ac:dyDescent="0.2">
      <c r="A28" s="1066">
        <v>2021917</v>
      </c>
      <c r="B28">
        <v>16474.2</v>
      </c>
      <c r="G28" t="e">
        <f>VLOOKUP(A28,שכר!B$2:$E402,3,FALSE)</f>
        <v>#N/A</v>
      </c>
    </row>
    <row r="29" spans="1:7" hidden="1" x14ac:dyDescent="0.2">
      <c r="A29" s="1066">
        <v>2021981</v>
      </c>
      <c r="B29">
        <v>39450.85</v>
      </c>
      <c r="G29" t="e">
        <f>VLOOKUP(A29,שכר!B$2:$E403,3,FALSE)</f>
        <v>#N/A</v>
      </c>
    </row>
    <row r="30" spans="1:7" hidden="1" x14ac:dyDescent="0.2">
      <c r="A30" s="1066">
        <v>2049048</v>
      </c>
      <c r="B30">
        <v>8870.19</v>
      </c>
      <c r="G30" t="e">
        <f>VLOOKUP(A30,שכר!B$2:$E404,3,FALSE)</f>
        <v>#N/A</v>
      </c>
    </row>
    <row r="31" spans="1:7" hidden="1" x14ac:dyDescent="0.2">
      <c r="A31" s="1066">
        <v>2049080</v>
      </c>
      <c r="B31">
        <v>34739.15</v>
      </c>
      <c r="G31" t="e">
        <f>VLOOKUP(A31,שכר!B$2:$E405,3,FALSE)</f>
        <v>#N/A</v>
      </c>
    </row>
    <row r="32" spans="1:7" hidden="1" x14ac:dyDescent="0.2">
      <c r="A32" s="1066">
        <v>2072913</v>
      </c>
      <c r="B32">
        <v>11339.65</v>
      </c>
      <c r="G32" t="e">
        <f>VLOOKUP(A32,שכר!B$2:$E406,3,FALSE)</f>
        <v>#N/A</v>
      </c>
    </row>
    <row r="33" spans="1:7" hidden="1" x14ac:dyDescent="0.2">
      <c r="A33" s="1066">
        <v>2086235</v>
      </c>
      <c r="B33">
        <v>19469.349999999999</v>
      </c>
      <c r="G33" t="e">
        <f>VLOOKUP(A33,שכר!B$2:$E407,3,FALSE)</f>
        <v>#N/A</v>
      </c>
    </row>
    <row r="34" spans="1:7" hidden="1" x14ac:dyDescent="0.2">
      <c r="A34" s="1066">
        <v>2104122</v>
      </c>
      <c r="B34">
        <v>16574.95</v>
      </c>
      <c r="G34" t="e">
        <f>VLOOKUP(A34,שכר!B$2:$E408,3,FALSE)</f>
        <v>#N/A</v>
      </c>
    </row>
    <row r="35" spans="1:7" hidden="1" x14ac:dyDescent="0.2">
      <c r="A35" s="1066">
        <v>2114913</v>
      </c>
      <c r="B35">
        <v>15165.4</v>
      </c>
      <c r="G35" t="e">
        <f>VLOOKUP(A35,שכר!B$2:$E409,3,FALSE)</f>
        <v>#N/A</v>
      </c>
    </row>
    <row r="36" spans="1:7" hidden="1" x14ac:dyDescent="0.2">
      <c r="A36" s="1066">
        <v>2310370</v>
      </c>
      <c r="B36">
        <v>69234.7</v>
      </c>
      <c r="G36" t="str">
        <f>VLOOKUP(A36,שכר!B$2:$E410,3,FALSE)</f>
        <v xml:space="preserve">פדול </v>
      </c>
    </row>
    <row r="37" spans="1:7" hidden="1" x14ac:dyDescent="0.2">
      <c r="A37" s="1066">
        <v>2310870</v>
      </c>
      <c r="B37">
        <v>44352.740000000005</v>
      </c>
      <c r="G37" t="str">
        <f>VLOOKUP(A37,שכר!B$2:$E411,3,FALSE)</f>
        <v xml:space="preserve">סאבא </v>
      </c>
    </row>
    <row r="38" spans="1:7" hidden="1" x14ac:dyDescent="0.2">
      <c r="A38" s="1066">
        <v>2318530</v>
      </c>
      <c r="B38">
        <v>84933.21</v>
      </c>
      <c r="G38" t="str">
        <f>VLOOKUP(A38,שכר!B$2:$E413,3,FALSE)</f>
        <v xml:space="preserve">עלו </v>
      </c>
    </row>
    <row r="39" spans="1:7" hidden="1" x14ac:dyDescent="0.2">
      <c r="A39" s="1066">
        <v>2318947</v>
      </c>
      <c r="B39">
        <v>58174.21</v>
      </c>
      <c r="G39" t="str">
        <f>VLOOKUP(A39,שכר!B$2:$E414,3,FALSE)</f>
        <v xml:space="preserve">רכאב </v>
      </c>
    </row>
    <row r="40" spans="1:7" hidden="1" x14ac:dyDescent="0.2">
      <c r="A40" s="1066">
        <v>2319412</v>
      </c>
      <c r="B40">
        <v>44209.760000000002</v>
      </c>
      <c r="G40" t="str">
        <f>VLOOKUP(A40,שכר!B$2:$E415,3,FALSE)</f>
        <v xml:space="preserve">זאהר </v>
      </c>
    </row>
    <row r="41" spans="1:7" hidden="1" x14ac:dyDescent="0.2">
      <c r="A41" s="1066">
        <v>2322909</v>
      </c>
      <c r="B41">
        <v>44521.84</v>
      </c>
      <c r="G41" t="str">
        <f>VLOOKUP(A41,שכר!B$2:$E416,3,FALSE)</f>
        <v xml:space="preserve">פרח </v>
      </c>
    </row>
    <row r="42" spans="1:7" hidden="1" x14ac:dyDescent="0.2">
      <c r="A42" s="1066">
        <v>2328691</v>
      </c>
      <c r="B42">
        <v>80693.849999999991</v>
      </c>
      <c r="G42" t="str">
        <f>VLOOKUP(A42,שכר!B$2:$E417,3,FALSE)</f>
        <v xml:space="preserve">מוראד </v>
      </c>
    </row>
    <row r="43" spans="1:7" hidden="1" x14ac:dyDescent="0.2">
      <c r="A43" s="1066">
        <v>2328715</v>
      </c>
      <c r="B43">
        <v>60833.91</v>
      </c>
      <c r="G43" t="str">
        <f>VLOOKUP(A43,שכר!B$2:$E418,3,FALSE)</f>
        <v xml:space="preserve">כיוף </v>
      </c>
    </row>
    <row r="44" spans="1:7" hidden="1" x14ac:dyDescent="0.2">
      <c r="A44" s="1066">
        <v>2332248</v>
      </c>
      <c r="B44">
        <v>99109.440000000002</v>
      </c>
      <c r="G44" t="str">
        <f>VLOOKUP(A44,שכר!B$2:$E419,3,FALSE)</f>
        <v xml:space="preserve">הלון </v>
      </c>
    </row>
    <row r="45" spans="1:7" hidden="1" x14ac:dyDescent="0.2">
      <c r="A45" s="1067">
        <v>2332857</v>
      </c>
      <c r="B45">
        <v>112348.06</v>
      </c>
      <c r="G45" t="str">
        <f>VLOOKUP(A45,שכר!B$2:$E420,3,FALSE)</f>
        <v xml:space="preserve">רוחאנה </v>
      </c>
    </row>
    <row r="46" spans="1:7" hidden="1" x14ac:dyDescent="0.2">
      <c r="A46" s="1066">
        <v>2346198</v>
      </c>
      <c r="B46">
        <v>34316.199999999997</v>
      </c>
      <c r="G46" t="e">
        <f>VLOOKUP(A46,שכר!B$2:$E422,3,FALSE)</f>
        <v>#N/A</v>
      </c>
    </row>
    <row r="47" spans="1:7" hidden="1" x14ac:dyDescent="0.2">
      <c r="A47" s="1066">
        <v>2346323</v>
      </c>
      <c r="B47">
        <v>69820.87</v>
      </c>
      <c r="G47" t="str">
        <f>VLOOKUP(A47,שכר!B$2:$E424,3,FALSE)</f>
        <v xml:space="preserve">אבוסעדה </v>
      </c>
    </row>
    <row r="48" spans="1:7" hidden="1" x14ac:dyDescent="0.2">
      <c r="A48" s="1066">
        <v>2346722</v>
      </c>
      <c r="B48">
        <v>68564.7</v>
      </c>
      <c r="G48" t="str">
        <f>VLOOKUP(A48,שכר!B$2:$E425,3,FALSE)</f>
        <v xml:space="preserve">כיוף </v>
      </c>
    </row>
    <row r="49" spans="1:7" hidden="1" x14ac:dyDescent="0.2">
      <c r="A49" s="1066">
        <v>2474642</v>
      </c>
      <c r="B49">
        <v>73121.570000000007</v>
      </c>
      <c r="G49" t="str">
        <f>VLOOKUP(A49,שכר!B$2:$E426,3,FALSE)</f>
        <v xml:space="preserve">סעיד </v>
      </c>
    </row>
    <row r="50" spans="1:7" x14ac:dyDescent="0.2">
      <c r="A50" s="1069">
        <v>2478126</v>
      </c>
      <c r="B50">
        <v>3148.25</v>
      </c>
      <c r="G50" t="str">
        <f>VLOOKUP(A50,שכר!B$2:$E427,3,FALSE)</f>
        <v xml:space="preserve">חלבי </v>
      </c>
    </row>
    <row r="51" spans="1:7" hidden="1" x14ac:dyDescent="0.2">
      <c r="A51" s="1066">
        <v>2478159</v>
      </c>
      <c r="B51">
        <v>166031.94</v>
      </c>
      <c r="G51" t="str">
        <f>VLOOKUP(A51,שכר!B$2:$E428,3,FALSE)</f>
        <v xml:space="preserve">עלו </v>
      </c>
    </row>
    <row r="52" spans="1:7" hidden="1" x14ac:dyDescent="0.2">
      <c r="A52" s="1066">
        <v>2587620</v>
      </c>
      <c r="B52">
        <v>37526.449999999997</v>
      </c>
      <c r="G52" t="str">
        <f>VLOOKUP(A52,שכר!B$2:$E429,3,FALSE)</f>
        <v xml:space="preserve">אבופארס </v>
      </c>
    </row>
    <row r="53" spans="1:7" hidden="1" x14ac:dyDescent="0.2">
      <c r="A53" s="1066">
        <v>2587900</v>
      </c>
      <c r="B53">
        <v>53606.5</v>
      </c>
      <c r="G53" t="str">
        <f>VLOOKUP(A53,שכר!B$2:$E430,3,FALSE)</f>
        <v xml:space="preserve">שרוף </v>
      </c>
    </row>
    <row r="54" spans="1:7" hidden="1" x14ac:dyDescent="0.2">
      <c r="A54" s="1066">
        <v>2593019</v>
      </c>
      <c r="B54">
        <v>20562.02</v>
      </c>
      <c r="G54" t="str">
        <f>VLOOKUP(A54,שכר!B$2:$E431,3,FALSE)</f>
        <v xml:space="preserve">פוארסה </v>
      </c>
    </row>
    <row r="55" spans="1:7" hidden="1" x14ac:dyDescent="0.2">
      <c r="A55" s="1066">
        <v>2597378</v>
      </c>
      <c r="B55">
        <v>43427.08</v>
      </c>
      <c r="G55" t="str">
        <f>VLOOKUP(A55,שכר!B$2:$E432,3,FALSE)</f>
        <v xml:space="preserve">עזאם </v>
      </c>
    </row>
    <row r="56" spans="1:7" hidden="1" x14ac:dyDescent="0.2">
      <c r="A56" s="1066">
        <v>2597635</v>
      </c>
      <c r="B56">
        <v>34663.93</v>
      </c>
      <c r="G56" t="str">
        <f>VLOOKUP(A56,שכר!B$2:$E434,3,FALSE)</f>
        <v xml:space="preserve">והב </v>
      </c>
    </row>
    <row r="57" spans="1:7" hidden="1" x14ac:dyDescent="0.2">
      <c r="A57" s="1066">
        <v>2616472</v>
      </c>
      <c r="B57">
        <v>62306.96</v>
      </c>
      <c r="G57" t="str">
        <f>VLOOKUP(A57,שכר!B$2:$E435,3,FALSE)</f>
        <v xml:space="preserve">גוטאני </v>
      </c>
    </row>
    <row r="58" spans="1:7" hidden="1" x14ac:dyDescent="0.2">
      <c r="A58" s="1066">
        <v>2617588</v>
      </c>
      <c r="B58">
        <v>46613.71</v>
      </c>
      <c r="G58" t="str">
        <f>VLOOKUP(A58,שכר!B$2:$E436,3,FALSE)</f>
        <v xml:space="preserve">רוחאנה </v>
      </c>
    </row>
    <row r="59" spans="1:7" x14ac:dyDescent="0.2">
      <c r="A59" s="1069">
        <v>2617868</v>
      </c>
      <c r="B59">
        <v>73378.83</v>
      </c>
      <c r="G59" t="str">
        <f>VLOOKUP(A59,שכר!B$2:$E437,3,FALSE)</f>
        <v xml:space="preserve">סקר </v>
      </c>
    </row>
    <row r="60" spans="1:7" hidden="1" x14ac:dyDescent="0.2">
      <c r="A60" s="1066">
        <v>2618465</v>
      </c>
      <c r="B60">
        <v>100540.12</v>
      </c>
      <c r="G60" t="str">
        <f>VLOOKUP(A60,שכר!B$2:$E438,3,FALSE)</f>
        <v xml:space="preserve">חאטום </v>
      </c>
    </row>
    <row r="61" spans="1:7" hidden="1" x14ac:dyDescent="0.2">
      <c r="A61" s="1066">
        <v>2618870</v>
      </c>
      <c r="B61">
        <v>66285.47</v>
      </c>
      <c r="G61" t="str">
        <f>VLOOKUP(A61,שכר!B$2:$E439,3,FALSE)</f>
        <v xml:space="preserve">שומרי </v>
      </c>
    </row>
    <row r="62" spans="1:7" hidden="1" x14ac:dyDescent="0.2">
      <c r="A62" s="1066">
        <v>2622839</v>
      </c>
      <c r="B62">
        <v>25346.42</v>
      </c>
      <c r="G62" t="str">
        <f>VLOOKUP(A62,שכר!B$2:$E440,3,FALSE)</f>
        <v xml:space="preserve">כיוף </v>
      </c>
    </row>
    <row r="63" spans="1:7" hidden="1" x14ac:dyDescent="0.2">
      <c r="A63" s="1066">
        <v>2625132</v>
      </c>
      <c r="B63">
        <v>53892.55</v>
      </c>
      <c r="G63" t="str">
        <f>VLOOKUP(A63,שכר!B$2:$E441,3,FALSE)</f>
        <v xml:space="preserve">כיוף </v>
      </c>
    </row>
    <row r="64" spans="1:7" hidden="1" x14ac:dyDescent="0.2">
      <c r="A64" s="1066">
        <v>2635430</v>
      </c>
      <c r="B64">
        <v>54261.06</v>
      </c>
      <c r="G64" t="str">
        <f>VLOOKUP(A64,שכר!B$2:$E442,3,FALSE)</f>
        <v xml:space="preserve">מנסור </v>
      </c>
    </row>
    <row r="65" spans="1:7" hidden="1" x14ac:dyDescent="0.2">
      <c r="A65" s="1066">
        <v>2635877</v>
      </c>
      <c r="B65">
        <v>36784.050000000003</v>
      </c>
      <c r="G65" t="str">
        <f>VLOOKUP(A65,שכר!B$2:$E444,3,FALSE)</f>
        <v xml:space="preserve">בדריה </v>
      </c>
    </row>
    <row r="66" spans="1:7" hidden="1" x14ac:dyDescent="0.2">
      <c r="A66" s="1066">
        <v>2643576</v>
      </c>
      <c r="B66">
        <v>65083.98</v>
      </c>
      <c r="G66" t="str">
        <f>VLOOKUP(A66,שכר!B$2:$E445,3,FALSE)</f>
        <v xml:space="preserve">כיוף </v>
      </c>
    </row>
    <row r="67" spans="1:7" hidden="1" x14ac:dyDescent="0.2">
      <c r="A67" s="1066">
        <v>2643960</v>
      </c>
      <c r="B67">
        <v>61006.05</v>
      </c>
      <c r="G67" t="str">
        <f>VLOOKUP(A67,שכר!B$2:$E446,3,FALSE)</f>
        <v xml:space="preserve">אסעד </v>
      </c>
    </row>
    <row r="68" spans="1:7" hidden="1" x14ac:dyDescent="0.2">
      <c r="A68" s="1066">
        <v>2646223</v>
      </c>
      <c r="B68">
        <v>101044.34</v>
      </c>
      <c r="G68" t="str">
        <f>VLOOKUP(A68,שכר!B$2:$E447,3,FALSE)</f>
        <v xml:space="preserve">אבורוקן </v>
      </c>
    </row>
    <row r="69" spans="1:7" x14ac:dyDescent="0.2">
      <c r="A69" s="1069">
        <v>2650713</v>
      </c>
      <c r="B69">
        <v>8905.52</v>
      </c>
      <c r="G69" t="str">
        <f>VLOOKUP(A69,שכר!B$2:$E448,3,FALSE)</f>
        <v xml:space="preserve">חלבי </v>
      </c>
    </row>
    <row r="70" spans="1:7" x14ac:dyDescent="0.2">
      <c r="A70" s="1069">
        <v>2656603</v>
      </c>
      <c r="B70">
        <v>14160.16</v>
      </c>
      <c r="G70" t="str">
        <f>VLOOKUP(A70,שכר!B$2:$E449,3,FALSE)</f>
        <v xml:space="preserve">אלבט </v>
      </c>
    </row>
    <row r="71" spans="1:7" hidden="1" x14ac:dyDescent="0.2">
      <c r="A71" s="1066">
        <v>2750510</v>
      </c>
      <c r="B71">
        <v>47238.95</v>
      </c>
      <c r="G71" t="str">
        <f>VLOOKUP(A71,שכר!B$2:$E450,3,FALSE)</f>
        <v xml:space="preserve">חלבי </v>
      </c>
    </row>
    <row r="72" spans="1:7" hidden="1" x14ac:dyDescent="0.2">
      <c r="A72" s="1066">
        <v>2750519</v>
      </c>
      <c r="B72">
        <v>20277.72</v>
      </c>
      <c r="G72" t="str">
        <f>VLOOKUP(A72,שכר!B$2:$E451,3,FALSE)</f>
        <v xml:space="preserve">קסראוי </v>
      </c>
    </row>
    <row r="73" spans="1:7" x14ac:dyDescent="0.2">
      <c r="A73" s="1069">
        <v>2750570</v>
      </c>
      <c r="B73">
        <v>33648.75</v>
      </c>
      <c r="G73" t="str">
        <f>VLOOKUP(A73,שכר!B$2:$E452,3,FALSE)</f>
        <v xml:space="preserve">חלבי </v>
      </c>
    </row>
    <row r="74" spans="1:7" hidden="1" x14ac:dyDescent="0.2">
      <c r="A74" s="1066">
        <v>2750789</v>
      </c>
      <c r="B74">
        <v>39175.919999999998</v>
      </c>
      <c r="G74" t="str">
        <f>VLOOKUP(A74,שכר!B$2:$E453,3,FALSE)</f>
        <v xml:space="preserve">עלו </v>
      </c>
    </row>
    <row r="75" spans="1:7" hidden="1" x14ac:dyDescent="0.2">
      <c r="A75" s="1066">
        <v>2751043</v>
      </c>
      <c r="B75">
        <v>65030.28</v>
      </c>
      <c r="G75" t="str">
        <f>VLOOKUP(A75,שכר!B$2:$E454,3,FALSE)</f>
        <v xml:space="preserve">זאהר </v>
      </c>
    </row>
    <row r="76" spans="1:7" hidden="1" x14ac:dyDescent="0.2">
      <c r="A76" s="1066">
        <v>2751317</v>
      </c>
      <c r="B76">
        <v>41534.35</v>
      </c>
      <c r="G76" t="str">
        <f>VLOOKUP(A76,שכר!B$2:$E455,3,FALSE)</f>
        <v xml:space="preserve">מנסור </v>
      </c>
    </row>
    <row r="77" spans="1:7" x14ac:dyDescent="0.2">
      <c r="A77" s="1069">
        <v>2767306</v>
      </c>
      <c r="B77">
        <v>66505.37</v>
      </c>
      <c r="G77" t="str">
        <f>VLOOKUP(A77,שכר!B$2:$E457,3,FALSE)</f>
        <v xml:space="preserve">נסראלדין </v>
      </c>
    </row>
    <row r="78" spans="1:7" hidden="1" x14ac:dyDescent="0.2">
      <c r="A78" s="1066">
        <v>2767428</v>
      </c>
      <c r="B78">
        <v>59703.71</v>
      </c>
      <c r="G78" t="str">
        <f>VLOOKUP(A78,שכר!B$2:$E458,3,FALSE)</f>
        <v xml:space="preserve">כיוף </v>
      </c>
    </row>
    <row r="79" spans="1:7" hidden="1" x14ac:dyDescent="0.2">
      <c r="A79" s="1066">
        <v>2815163</v>
      </c>
      <c r="B79">
        <v>45274.85</v>
      </c>
      <c r="G79" t="str">
        <f>VLOOKUP(A79,שכר!B$2:$E459,3,FALSE)</f>
        <v xml:space="preserve">חמדאן </v>
      </c>
    </row>
    <row r="80" spans="1:7" hidden="1" x14ac:dyDescent="0.2">
      <c r="A80" s="1066">
        <v>2815172</v>
      </c>
      <c r="B80">
        <v>31414.52</v>
      </c>
      <c r="G80" t="str">
        <f>VLOOKUP(A80,שכר!B$2:$E460,3,FALSE)</f>
        <v xml:space="preserve">אבורוקן </v>
      </c>
    </row>
    <row r="81" spans="1:7" hidden="1" x14ac:dyDescent="0.2">
      <c r="A81" s="1066">
        <v>2815420</v>
      </c>
      <c r="B81">
        <v>67558.37</v>
      </c>
      <c r="G81" t="str">
        <f>VLOOKUP(A81,שכר!B$2:$E461,3,FALSE)</f>
        <v xml:space="preserve">נסאר </v>
      </c>
    </row>
    <row r="82" spans="1:7" hidden="1" x14ac:dyDescent="0.2">
      <c r="A82" s="1066">
        <v>2815747</v>
      </c>
      <c r="B82">
        <v>46425.57</v>
      </c>
      <c r="G82" t="str">
        <f>VLOOKUP(A82,שכר!B$2:$E463,3,FALSE)</f>
        <v xml:space="preserve">סיף </v>
      </c>
    </row>
    <row r="83" spans="1:7" hidden="1" x14ac:dyDescent="0.2">
      <c r="A83" s="1066">
        <v>2820879</v>
      </c>
      <c r="B83">
        <v>34936.22</v>
      </c>
      <c r="G83" t="str">
        <f>VLOOKUP(A83,שכר!B$2:$E464,3,FALSE)</f>
        <v xml:space="preserve">רכאב </v>
      </c>
    </row>
    <row r="84" spans="1:7" hidden="1" x14ac:dyDescent="0.2">
      <c r="A84" s="1066">
        <v>2823141</v>
      </c>
      <c r="B84">
        <v>67848.009999999995</v>
      </c>
      <c r="G84" t="str">
        <f>VLOOKUP(A84,שכר!B$2:$E465,3,FALSE)</f>
        <v xml:space="preserve">פרו </v>
      </c>
    </row>
    <row r="85" spans="1:7" hidden="1" x14ac:dyDescent="0.2">
      <c r="A85" s="1066">
        <v>2824458</v>
      </c>
      <c r="B85">
        <v>80225.350000000006</v>
      </c>
      <c r="G85" t="str">
        <f>VLOOKUP(A85,שכר!B$2:$E466,3,FALSE)</f>
        <v xml:space="preserve">נסראלדין </v>
      </c>
    </row>
    <row r="86" spans="1:7" hidden="1" x14ac:dyDescent="0.2">
      <c r="A86" s="1066">
        <v>2824491</v>
      </c>
      <c r="B86">
        <v>58660.5</v>
      </c>
      <c r="G86" t="str">
        <f>VLOOKUP(A86,שכר!B$2:$E467,3,FALSE)</f>
        <v xml:space="preserve">פרו </v>
      </c>
    </row>
    <row r="87" spans="1:7" x14ac:dyDescent="0.2">
      <c r="A87" s="1069">
        <v>2824628</v>
      </c>
      <c r="B87">
        <v>1789.52</v>
      </c>
      <c r="G87" t="str">
        <f>VLOOKUP(A87,שכר!B$2:$E468,3,FALSE)</f>
        <v xml:space="preserve">מארון </v>
      </c>
    </row>
    <row r="88" spans="1:7" hidden="1" x14ac:dyDescent="0.2">
      <c r="A88" s="1066">
        <v>2824827</v>
      </c>
      <c r="B88">
        <v>74579.38</v>
      </c>
      <c r="G88" t="str">
        <f>VLOOKUP(A88,שכר!B$2:$E469,3,FALSE)</f>
        <v xml:space="preserve">שומרי </v>
      </c>
    </row>
    <row r="89" spans="1:7" hidden="1" x14ac:dyDescent="0.2">
      <c r="A89" s="1066">
        <v>2826156</v>
      </c>
      <c r="B89">
        <v>128482.65</v>
      </c>
      <c r="G89" t="str">
        <f>VLOOKUP(A89,שכר!B$2:$E472,3,FALSE)</f>
        <v xml:space="preserve">מנסור </v>
      </c>
    </row>
    <row r="90" spans="1:7" hidden="1" x14ac:dyDescent="0.2">
      <c r="A90" s="1066">
        <v>2827480</v>
      </c>
      <c r="B90">
        <v>52421.57</v>
      </c>
      <c r="G90" t="str">
        <f>VLOOKUP(A90,שכר!B$2:$E474,3,FALSE)</f>
        <v xml:space="preserve">אסף </v>
      </c>
    </row>
    <row r="91" spans="1:7" hidden="1" x14ac:dyDescent="0.2">
      <c r="A91" s="1066">
        <v>2827538</v>
      </c>
      <c r="B91">
        <v>82133.459999999992</v>
      </c>
      <c r="G91" t="str">
        <f>VLOOKUP(A91,שכר!B$2:$E475,3,FALSE)</f>
        <v xml:space="preserve">עזאם </v>
      </c>
    </row>
    <row r="92" spans="1:7" hidden="1" x14ac:dyDescent="0.2">
      <c r="A92" s="1066">
        <v>2827909</v>
      </c>
      <c r="B92">
        <v>160697.38</v>
      </c>
      <c r="G92" t="str">
        <f>VLOOKUP(A92,שכר!B$2:$E477,3,FALSE)</f>
        <v xml:space="preserve">כיוף </v>
      </c>
    </row>
    <row r="93" spans="1:7" hidden="1" x14ac:dyDescent="0.2">
      <c r="A93" s="1066">
        <v>2827928</v>
      </c>
      <c r="B93">
        <v>132679.60999999999</v>
      </c>
      <c r="G93" t="str">
        <f>VLOOKUP(A93,שכר!B$2:$E478,3,FALSE)</f>
        <v xml:space="preserve">גאבר </v>
      </c>
    </row>
    <row r="94" spans="1:7" hidden="1" x14ac:dyDescent="0.2">
      <c r="A94" s="1066">
        <v>2833796</v>
      </c>
      <c r="B94">
        <v>48686.66</v>
      </c>
      <c r="G94" t="str">
        <f>VLOOKUP(A94,שכר!B$2:$E479,3,FALSE)</f>
        <v xml:space="preserve">אבותמימי </v>
      </c>
    </row>
    <row r="95" spans="1:7" hidden="1" x14ac:dyDescent="0.2">
      <c r="A95" s="1066">
        <v>2910356</v>
      </c>
      <c r="B95">
        <v>76589.77</v>
      </c>
      <c r="G95" t="str">
        <f>VLOOKUP(A95,שכר!B$2:$E480,3,FALSE)</f>
        <v xml:space="preserve">עמאשה </v>
      </c>
    </row>
    <row r="96" spans="1:7" hidden="1" x14ac:dyDescent="0.2">
      <c r="A96" s="1066">
        <v>2910410</v>
      </c>
      <c r="B96">
        <v>85086.48</v>
      </c>
      <c r="G96" t="str">
        <f>VLOOKUP(A96,שכר!B$2:$E481,3,FALSE)</f>
        <v xml:space="preserve">אבוזלף </v>
      </c>
    </row>
    <row r="97" spans="1:7" hidden="1" x14ac:dyDescent="0.2">
      <c r="A97" s="1066">
        <v>2921221</v>
      </c>
      <c r="B97">
        <v>81453.919999999998</v>
      </c>
      <c r="G97" t="str">
        <f>VLOOKUP(A97,שכר!B$2:$E482,3,FALSE)</f>
        <v xml:space="preserve">זאהר </v>
      </c>
    </row>
    <row r="98" spans="1:7" hidden="1" x14ac:dyDescent="0.2">
      <c r="A98" s="1066">
        <v>2977830</v>
      </c>
      <c r="B98">
        <v>52577.08</v>
      </c>
      <c r="G98" t="str">
        <f>VLOOKUP(A98,שכר!B$2:$E483,3,FALSE)</f>
        <v xml:space="preserve">שרוף </v>
      </c>
    </row>
    <row r="99" spans="1:7" hidden="1" x14ac:dyDescent="0.2">
      <c r="A99" s="1066">
        <v>2996822</v>
      </c>
      <c r="B99">
        <v>35115.79</v>
      </c>
      <c r="G99" t="str">
        <f>VLOOKUP(A99,שכר!B$2:$E484,3,FALSE)</f>
        <v xml:space="preserve">חמדאן </v>
      </c>
    </row>
    <row r="100" spans="1:7" hidden="1" x14ac:dyDescent="0.2">
      <c r="A100" s="1066">
        <v>2996869</v>
      </c>
      <c r="B100">
        <v>65607.27</v>
      </c>
      <c r="G100" t="str">
        <f>VLOOKUP(A100,שכר!B$2:$E485,3,FALSE)</f>
        <v xml:space="preserve">עזאם </v>
      </c>
    </row>
    <row r="101" spans="1:7" hidden="1" x14ac:dyDescent="0.2">
      <c r="A101" s="1066">
        <v>2996880</v>
      </c>
      <c r="B101">
        <v>68185.399999999994</v>
      </c>
      <c r="G101" t="str">
        <f>VLOOKUP(A101,שכר!B$2:$E486,3,FALSE)</f>
        <v xml:space="preserve">סעב </v>
      </c>
    </row>
    <row r="102" spans="1:7" hidden="1" x14ac:dyDescent="0.2">
      <c r="A102" s="1066">
        <v>2999412</v>
      </c>
      <c r="B102">
        <v>17021.240000000002</v>
      </c>
      <c r="G102" t="str">
        <f>VLOOKUP(A102,שכר!B$2:$E488,3,FALSE)</f>
        <v xml:space="preserve">טויל </v>
      </c>
    </row>
    <row r="103" spans="1:7" hidden="1" x14ac:dyDescent="0.2">
      <c r="A103" s="1066">
        <v>3117319</v>
      </c>
      <c r="B103">
        <v>105746.57</v>
      </c>
      <c r="G103" t="str">
        <f>VLOOKUP(A103,שכר!B$2:$E488,3,FALSE)</f>
        <v xml:space="preserve">אבורוקן </v>
      </c>
    </row>
    <row r="104" spans="1:7" hidden="1" x14ac:dyDescent="0.2">
      <c r="A104" s="1066">
        <v>3117724</v>
      </c>
      <c r="B104">
        <v>30693.83</v>
      </c>
      <c r="G104" t="str">
        <f>VLOOKUP(A104,שכר!B$2:$E488,3,FALSE)</f>
        <v xml:space="preserve">עמאשה </v>
      </c>
    </row>
    <row r="105" spans="1:7" x14ac:dyDescent="0.2">
      <c r="A105" s="1069">
        <v>3276197</v>
      </c>
      <c r="B105">
        <v>122600.06</v>
      </c>
      <c r="G105" t="str">
        <f>VLOOKUP(A105,שכר!B$2:$E488,3,FALSE)</f>
        <v xml:space="preserve">כיוף </v>
      </c>
    </row>
    <row r="106" spans="1:7" hidden="1" x14ac:dyDescent="0.2">
      <c r="A106" s="1066">
        <v>3290212</v>
      </c>
      <c r="B106">
        <v>56237.16</v>
      </c>
      <c r="G106" t="str">
        <f>VLOOKUP(A106,שכר!B$2:$E488,3,FALSE)</f>
        <v xml:space="preserve">ערטול </v>
      </c>
    </row>
    <row r="107" spans="1:7" hidden="1" x14ac:dyDescent="0.2">
      <c r="A107" s="1066">
        <v>3292292</v>
      </c>
      <c r="B107">
        <v>60551.729999999996</v>
      </c>
      <c r="G107" t="str">
        <f>VLOOKUP(A107,שכר!B$2:$E488,3,FALSE)</f>
        <v xml:space="preserve">רוחאנה </v>
      </c>
    </row>
    <row r="108" spans="1:7" hidden="1" x14ac:dyDescent="0.2">
      <c r="A108" s="1066">
        <v>3311068</v>
      </c>
      <c r="B108">
        <v>37635.57</v>
      </c>
      <c r="G108" t="str">
        <f>VLOOKUP(A108,שכר!B$2:$E488,3,FALSE)</f>
        <v xml:space="preserve">אבורוקן </v>
      </c>
    </row>
    <row r="109" spans="1:7" hidden="1" x14ac:dyDescent="0.2">
      <c r="A109" s="1066">
        <v>3336177</v>
      </c>
      <c r="B109">
        <v>49148.43</v>
      </c>
      <c r="G109" t="str">
        <f>VLOOKUP(A109,שכר!B$2:$E488,3,FALSE)</f>
        <v xml:space="preserve">סעיד </v>
      </c>
    </row>
    <row r="110" spans="1:7" hidden="1" x14ac:dyDescent="0.2">
      <c r="A110" s="1066">
        <v>3336229</v>
      </c>
      <c r="B110">
        <v>52236.23</v>
      </c>
      <c r="G110" t="str">
        <f>VLOOKUP(A110,שכר!B$2:$E488,3,FALSE)</f>
        <v xml:space="preserve">אבו סעדה </v>
      </c>
    </row>
    <row r="111" spans="1:7" hidden="1" x14ac:dyDescent="0.2">
      <c r="A111" s="1066">
        <v>3360162</v>
      </c>
      <c r="B111">
        <v>23523.75</v>
      </c>
      <c r="G111" t="str">
        <f>VLOOKUP(A111,שכר!B$2:$E490,3,FALSE)</f>
        <v xml:space="preserve">חיר </v>
      </c>
    </row>
    <row r="112" spans="1:7" hidden="1" x14ac:dyDescent="0.2">
      <c r="A112" s="1066">
        <v>3408301</v>
      </c>
      <c r="B112">
        <v>235938.94</v>
      </c>
      <c r="G112" t="str">
        <f>VLOOKUP(A112,שכר!B$2:$E491,3,FALSE)</f>
        <v xml:space="preserve">אסדי </v>
      </c>
    </row>
    <row r="113" spans="1:7" hidden="1" x14ac:dyDescent="0.2">
      <c r="A113" s="1066">
        <v>3408409</v>
      </c>
      <c r="B113">
        <v>43925.279999999999</v>
      </c>
      <c r="G113" t="str">
        <f>VLOOKUP(A113,שכר!B$2:$E491,3,FALSE)</f>
        <v xml:space="preserve">לאלא </v>
      </c>
    </row>
    <row r="114" spans="1:7" hidden="1" x14ac:dyDescent="0.2">
      <c r="A114" s="1066">
        <v>3408418</v>
      </c>
      <c r="B114">
        <v>27157.83</v>
      </c>
      <c r="G114" t="str">
        <f>VLOOKUP(A114,שכר!B$2:$E491,3,FALSE)</f>
        <v xml:space="preserve">מנסור </v>
      </c>
    </row>
    <row r="115" spans="1:7" hidden="1" x14ac:dyDescent="0.2">
      <c r="A115" s="1066">
        <v>3416090</v>
      </c>
      <c r="B115">
        <v>49474.12</v>
      </c>
      <c r="G115" t="str">
        <f>VLOOKUP(A115,שכר!B$2:$E491,3,FALSE)</f>
        <v xml:space="preserve">שכידם </v>
      </c>
    </row>
    <row r="116" spans="1:7" hidden="1" x14ac:dyDescent="0.2">
      <c r="A116" s="1066">
        <v>3429196</v>
      </c>
      <c r="B116">
        <v>85189.43</v>
      </c>
      <c r="G116" t="str">
        <f>VLOOKUP(A116,שכר!B$2:$E491,3,FALSE)</f>
        <v>פרחאת-אבופ</v>
      </c>
    </row>
    <row r="117" spans="1:7" x14ac:dyDescent="0.2">
      <c r="A117" s="1069">
        <v>3429563</v>
      </c>
      <c r="B117">
        <v>14469.79</v>
      </c>
      <c r="G117" t="str">
        <f>VLOOKUP(A117,שכר!B$2:$E491,3,FALSE)</f>
        <v xml:space="preserve">אבורוקן </v>
      </c>
    </row>
    <row r="118" spans="1:7" hidden="1" x14ac:dyDescent="0.2">
      <c r="A118" s="1066">
        <v>3443023</v>
      </c>
      <c r="B118">
        <v>78341.159999999989</v>
      </c>
      <c r="G118" t="str">
        <f>VLOOKUP(A118,שכר!B$2:$E491,3,FALSE)</f>
        <v xml:space="preserve">מחרז </v>
      </c>
    </row>
    <row r="119" spans="1:7" hidden="1" x14ac:dyDescent="0.2">
      <c r="A119" s="1066">
        <v>3443238</v>
      </c>
      <c r="B119">
        <v>68810.76999999999</v>
      </c>
      <c r="G119" t="str">
        <f>VLOOKUP(A119,שכר!B$2:$E491,3,FALSE)</f>
        <v xml:space="preserve">כיוף </v>
      </c>
    </row>
    <row r="120" spans="1:7" x14ac:dyDescent="0.2">
      <c r="A120" s="1069">
        <v>3452404</v>
      </c>
      <c r="B120">
        <v>71061.73</v>
      </c>
      <c r="G120" t="str">
        <f>VLOOKUP(A120,שכר!B$2:$E491,3,FALSE)</f>
        <v xml:space="preserve">סיף </v>
      </c>
    </row>
    <row r="121" spans="1:7" hidden="1" x14ac:dyDescent="0.2">
      <c r="A121" s="1066">
        <v>3457700</v>
      </c>
      <c r="B121">
        <v>28877.93</v>
      </c>
      <c r="G121" t="str">
        <f>VLOOKUP(A121,שכר!B$2:$E491,3,FALSE)</f>
        <v xml:space="preserve">סקר </v>
      </c>
    </row>
    <row r="122" spans="1:7" hidden="1" x14ac:dyDescent="0.2">
      <c r="A122" s="1066">
        <v>3472828</v>
      </c>
      <c r="B122">
        <v>22734.52</v>
      </c>
      <c r="G122" t="str">
        <f>VLOOKUP(A122,שכר!B$2:$E491,3,FALSE)</f>
        <v xml:space="preserve">קוזלי </v>
      </c>
    </row>
    <row r="123" spans="1:7" hidden="1" x14ac:dyDescent="0.2">
      <c r="A123" s="1066">
        <v>3480322</v>
      </c>
      <c r="B123">
        <v>61875.75</v>
      </c>
      <c r="G123" t="str">
        <f>VLOOKUP(A123,שכר!B$2:$E491,3,FALSE)</f>
        <v xml:space="preserve">קיואן </v>
      </c>
    </row>
    <row r="124" spans="1:7" hidden="1" x14ac:dyDescent="0.2">
      <c r="A124" s="1066">
        <v>3529446</v>
      </c>
      <c r="B124">
        <v>18634.099999999999</v>
      </c>
      <c r="G124" t="str">
        <f>VLOOKUP(A124,שכר!B$2:$E491,3,FALSE)</f>
        <v xml:space="preserve">אבותמימי </v>
      </c>
    </row>
    <row r="125" spans="1:7" hidden="1" x14ac:dyDescent="0.2">
      <c r="A125" s="1066">
        <v>3532972</v>
      </c>
      <c r="B125">
        <v>130307.05</v>
      </c>
      <c r="G125" t="str">
        <f>VLOOKUP(A125,שכר!B$2:$E491,3,FALSE)</f>
        <v xml:space="preserve">אבורוקן </v>
      </c>
    </row>
    <row r="126" spans="1:7" hidden="1" x14ac:dyDescent="0.2">
      <c r="A126" s="1066">
        <v>3533437</v>
      </c>
      <c r="B126">
        <v>47562.55</v>
      </c>
      <c r="G126" t="str">
        <f>VLOOKUP(A126,שכר!B$2:$E491,3,FALSE)</f>
        <v xml:space="preserve">מנסור </v>
      </c>
    </row>
    <row r="127" spans="1:7" hidden="1" x14ac:dyDescent="0.2">
      <c r="A127" s="1066">
        <v>3547802</v>
      </c>
      <c r="B127">
        <v>23021.5</v>
      </c>
      <c r="G127" t="str">
        <f>VLOOKUP(A127,שכר!B$2:$E491,3,FALSE)</f>
        <v xml:space="preserve">פרו </v>
      </c>
    </row>
    <row r="128" spans="1:7" x14ac:dyDescent="0.2">
      <c r="A128" s="1069">
        <v>3570237</v>
      </c>
      <c r="B128">
        <v>9820.57</v>
      </c>
      <c r="G128" t="str">
        <f>VLOOKUP(A128,שכר!B$2:$E491,3,FALSE)</f>
        <v xml:space="preserve">קאסם </v>
      </c>
    </row>
    <row r="129" spans="1:7" x14ac:dyDescent="0.2">
      <c r="A129" s="1069">
        <v>3582089</v>
      </c>
      <c r="B129">
        <v>55446.559999999998</v>
      </c>
      <c r="G129" t="str">
        <f>VLOOKUP(A129,שכר!B$2:$E491,3,FALSE)</f>
        <v xml:space="preserve">זאהר </v>
      </c>
    </row>
    <row r="130" spans="1:7" hidden="1" x14ac:dyDescent="0.2">
      <c r="A130" s="1066">
        <v>3584536</v>
      </c>
      <c r="B130">
        <v>60672.32</v>
      </c>
      <c r="G130" t="str">
        <f>VLOOKUP(A130,שכר!B$2:$E491,3,FALSE)</f>
        <v xml:space="preserve">כיוף </v>
      </c>
    </row>
    <row r="131" spans="1:7" hidden="1" x14ac:dyDescent="0.2">
      <c r="A131" s="1066">
        <v>3590738</v>
      </c>
      <c r="B131">
        <v>48757.919999999998</v>
      </c>
      <c r="G131" t="str">
        <f>VLOOKUP(A131,שכר!B$2:$E491,3,FALSE)</f>
        <v xml:space="preserve">אבורוקן </v>
      </c>
    </row>
    <row r="132" spans="1:7" x14ac:dyDescent="0.2">
      <c r="A132" s="1069">
        <v>3599629</v>
      </c>
      <c r="B132">
        <v>6214.54</v>
      </c>
      <c r="G132" t="str">
        <f>VLOOKUP(A132,שכר!B$2:$E491,3,FALSE)</f>
        <v xml:space="preserve">אשקר </v>
      </c>
    </row>
    <row r="133" spans="1:7" hidden="1" x14ac:dyDescent="0.2">
      <c r="A133" s="1066">
        <v>3599882</v>
      </c>
      <c r="B133">
        <v>70617.05</v>
      </c>
      <c r="G133" t="str">
        <f>VLOOKUP(A133,שכר!B$2:$E491,3,FALSE)</f>
        <v xml:space="preserve">כיוף </v>
      </c>
    </row>
    <row r="134" spans="1:7" x14ac:dyDescent="0.2">
      <c r="A134" s="1069">
        <v>3644372</v>
      </c>
      <c r="B134">
        <v>8000.65</v>
      </c>
      <c r="G134" t="str">
        <f>VLOOKUP(A134,שכר!B$2:$E491,3,FALSE)</f>
        <v xml:space="preserve">עטילה </v>
      </c>
    </row>
    <row r="135" spans="1:7" x14ac:dyDescent="0.2">
      <c r="A135" s="1069">
        <v>3686096</v>
      </c>
      <c r="B135">
        <v>28968.01</v>
      </c>
      <c r="G135" t="str">
        <f>VLOOKUP(A135,שכר!B$2:$E491,3,FALSE)</f>
        <v xml:space="preserve">דקסה </v>
      </c>
    </row>
    <row r="136" spans="1:7" hidden="1" x14ac:dyDescent="0.2">
      <c r="A136" s="1066">
        <v>3693519</v>
      </c>
      <c r="B136">
        <v>30699.86</v>
      </c>
      <c r="G136" t="str">
        <f>VLOOKUP(A136,שכר!B$2:$E491,3,FALSE)</f>
        <v xml:space="preserve">כיוף </v>
      </c>
    </row>
    <row r="137" spans="1:7" hidden="1" x14ac:dyDescent="0.2">
      <c r="A137" s="1066">
        <v>3722266</v>
      </c>
      <c r="B137">
        <v>67921.289999999994</v>
      </c>
      <c r="G137" t="str">
        <f>VLOOKUP(A137,שכר!B$2:$E491,3,FALSE)</f>
        <v xml:space="preserve">זאהר </v>
      </c>
    </row>
    <row r="138" spans="1:7" hidden="1" x14ac:dyDescent="0.2">
      <c r="A138" s="1066">
        <v>3907613</v>
      </c>
      <c r="B138">
        <v>32404.34</v>
      </c>
      <c r="G138" t="str">
        <f>VLOOKUP(A138,שכר!B$2:$E491,3,FALSE)</f>
        <v xml:space="preserve">אבוזלף </v>
      </c>
    </row>
    <row r="139" spans="1:7" x14ac:dyDescent="0.2">
      <c r="A139" s="1069">
        <v>3942407</v>
      </c>
      <c r="B139">
        <v>5593.01</v>
      </c>
      <c r="G139" t="str">
        <f>VLOOKUP(A139,שכר!B$2:$E491,3,FALSE)</f>
        <v xml:space="preserve">נסראלדין </v>
      </c>
    </row>
    <row r="140" spans="1:7" hidden="1" x14ac:dyDescent="0.2">
      <c r="A140" s="1066">
        <v>3945507</v>
      </c>
      <c r="B140">
        <v>45220.28</v>
      </c>
      <c r="G140" t="str">
        <f>VLOOKUP(A140,שכר!B$2:$E491,3,FALSE)</f>
        <v xml:space="preserve">חמדאן </v>
      </c>
    </row>
    <row r="141" spans="1:7" hidden="1" x14ac:dyDescent="0.2">
      <c r="A141" s="1066">
        <v>3945702</v>
      </c>
      <c r="B141">
        <v>60101.24</v>
      </c>
      <c r="G141" t="str">
        <f>VLOOKUP(A141,שכר!B$2:$E491,3,FALSE)</f>
        <v xml:space="preserve">רוחאנה </v>
      </c>
    </row>
    <row r="142" spans="1:7" x14ac:dyDescent="0.2">
      <c r="A142" s="1069">
        <v>3980887</v>
      </c>
      <c r="B142">
        <v>2961.91</v>
      </c>
      <c r="G142" t="str">
        <f>VLOOKUP(A142,שכר!B$2:$E491,3,FALSE)</f>
        <v xml:space="preserve">כמאל </v>
      </c>
    </row>
    <row r="143" spans="1:7" hidden="1" x14ac:dyDescent="0.2">
      <c r="A143" s="1066">
        <v>3981145</v>
      </c>
      <c r="B143">
        <v>63296.36</v>
      </c>
      <c r="G143" t="str">
        <f>VLOOKUP(A143,שכר!B$2:$E491,3,FALSE)</f>
        <v xml:space="preserve">רוחאנה </v>
      </c>
    </row>
    <row r="144" spans="1:7" hidden="1" x14ac:dyDescent="0.2">
      <c r="A144" s="1066">
        <v>3996233</v>
      </c>
      <c r="B144">
        <v>66481.240000000005</v>
      </c>
      <c r="G144" t="str">
        <f>VLOOKUP(A144,שכר!B$2:$E491,3,FALSE)</f>
        <v xml:space="preserve">והב </v>
      </c>
    </row>
    <row r="145" spans="1:7" hidden="1" x14ac:dyDescent="0.2">
      <c r="A145" s="1066">
        <v>4008443</v>
      </c>
      <c r="B145">
        <v>35910.25</v>
      </c>
      <c r="G145" t="str">
        <f>VLOOKUP(A145,שכר!B$2:$E491,3,FALSE)</f>
        <v xml:space="preserve">אבופארס </v>
      </c>
    </row>
    <row r="146" spans="1:7" x14ac:dyDescent="0.2">
      <c r="A146" s="1069">
        <v>4049682</v>
      </c>
      <c r="B146">
        <v>205653.45</v>
      </c>
      <c r="G146" t="str">
        <f>VLOOKUP(A146,שכר!B$2:$E491,3,FALSE)</f>
        <v xml:space="preserve">חוסיסי </v>
      </c>
    </row>
    <row r="147" spans="1:7" x14ac:dyDescent="0.2">
      <c r="A147" s="1069">
        <v>4051702</v>
      </c>
      <c r="B147">
        <v>16154.83</v>
      </c>
      <c r="G147" t="str">
        <f>VLOOKUP(A147,שכר!B$2:$E491,3,FALSE)</f>
        <v xml:space="preserve">כמאל </v>
      </c>
    </row>
    <row r="148" spans="1:7" x14ac:dyDescent="0.2">
      <c r="A148" s="1069">
        <v>4051824</v>
      </c>
      <c r="B148">
        <v>5955.28</v>
      </c>
      <c r="G148" t="str">
        <f>VLOOKUP(A148,שכר!B$2:$E491,3,FALSE)</f>
        <v xml:space="preserve">עיסמי </v>
      </c>
    </row>
    <row r="149" spans="1:7" hidden="1" x14ac:dyDescent="0.2">
      <c r="A149" s="1066">
        <v>4052129</v>
      </c>
      <c r="B149">
        <v>65819.77</v>
      </c>
      <c r="G149" t="str">
        <f>VLOOKUP(A149,שכר!B$2:$E491,3,FALSE)</f>
        <v xml:space="preserve">לאלא </v>
      </c>
    </row>
    <row r="150" spans="1:7" x14ac:dyDescent="0.2">
      <c r="A150" s="1069">
        <v>4054830</v>
      </c>
      <c r="B150">
        <v>31219.33</v>
      </c>
      <c r="G150" t="str">
        <f>VLOOKUP(A150,שכר!B$2:$E491,3,FALSE)</f>
        <v xml:space="preserve">עזאם </v>
      </c>
    </row>
    <row r="151" spans="1:7" hidden="1" x14ac:dyDescent="0.2">
      <c r="A151" s="1066">
        <v>4093593</v>
      </c>
      <c r="B151">
        <v>38351.539999999994</v>
      </c>
      <c r="G151" t="str">
        <f>VLOOKUP(A151,שכר!B$2:$E491,3,FALSE)</f>
        <v xml:space="preserve">קוזלי </v>
      </c>
    </row>
    <row r="152" spans="1:7" x14ac:dyDescent="0.2">
      <c r="A152" s="1069">
        <v>4170763</v>
      </c>
      <c r="B152">
        <v>46583.360000000001</v>
      </c>
      <c r="G152" t="str">
        <f>VLOOKUP(A152,שכר!B$2:$E491,3,FALSE)</f>
        <v xml:space="preserve">כיוף </v>
      </c>
    </row>
    <row r="153" spans="1:7" hidden="1" x14ac:dyDescent="0.2">
      <c r="A153" s="1066">
        <v>4170918</v>
      </c>
      <c r="B153">
        <v>80607.03</v>
      </c>
      <c r="G153" t="str">
        <f>VLOOKUP(A153,שכר!B$2:$E491,3,FALSE)</f>
        <v xml:space="preserve">עזאם </v>
      </c>
    </row>
    <row r="154" spans="1:7" hidden="1" x14ac:dyDescent="0.2">
      <c r="A154" s="1066">
        <v>5043571</v>
      </c>
      <c r="B154">
        <v>49631.48</v>
      </c>
      <c r="G154" t="str">
        <f>VLOOKUP(A154,שכר!B$2:$E491,3,FALSE)</f>
        <v xml:space="preserve">מחרז </v>
      </c>
    </row>
    <row r="155" spans="1:7" hidden="1" x14ac:dyDescent="0.2">
      <c r="A155" s="1066">
        <v>5049194</v>
      </c>
      <c r="B155">
        <v>50449.7</v>
      </c>
      <c r="G155" t="str">
        <f>VLOOKUP(A155,שכר!B$2:$E491,3,FALSE)</f>
        <v xml:space="preserve">קונטאר </v>
      </c>
    </row>
    <row r="156" spans="1:7" hidden="1" x14ac:dyDescent="0.2">
      <c r="A156" s="1066">
        <v>5078583</v>
      </c>
      <c r="B156">
        <v>33564.800000000003</v>
      </c>
      <c r="G156" t="str">
        <f>VLOOKUP(A156,שכר!B$2:$E491,3,FALSE)</f>
        <v xml:space="preserve">אבופארס </v>
      </c>
    </row>
    <row r="157" spans="1:7" hidden="1" x14ac:dyDescent="0.2">
      <c r="A157" s="1066">
        <v>5078925</v>
      </c>
      <c r="B157">
        <v>40158.240000000005</v>
      </c>
      <c r="G157" t="str">
        <f>VLOOKUP(A157,שכר!B$2:$E491,3,FALSE)</f>
        <v xml:space="preserve">דאמן </v>
      </c>
    </row>
    <row r="158" spans="1:7" hidden="1" x14ac:dyDescent="0.2">
      <c r="A158" s="1066">
        <v>5079682</v>
      </c>
      <c r="B158">
        <v>85443.91</v>
      </c>
      <c r="G158" t="str">
        <f>VLOOKUP(A158,שכר!B$2:$E491,3,FALSE)</f>
        <v xml:space="preserve">דבור </v>
      </c>
    </row>
    <row r="159" spans="1:7" hidden="1" x14ac:dyDescent="0.2">
      <c r="A159" s="1064">
        <v>5223585</v>
      </c>
      <c r="B159">
        <v>558053.28</v>
      </c>
      <c r="G159" t="str">
        <f>VLOOKUP(A159,שכר!B$2:$E491,3,FALSE)</f>
        <v xml:space="preserve">כיוף </v>
      </c>
    </row>
    <row r="160" spans="1:7" hidden="1" x14ac:dyDescent="0.2">
      <c r="A160" s="1066">
        <v>5239197</v>
      </c>
      <c r="B160">
        <v>79481.77</v>
      </c>
      <c r="G160" t="str">
        <f>VLOOKUP(A160,שכר!B$2:$E491,3,FALSE)</f>
        <v xml:space="preserve">סייד_אחמד </v>
      </c>
    </row>
    <row r="161" spans="1:7" hidden="1" x14ac:dyDescent="0.2">
      <c r="A161" s="1066">
        <v>5243431</v>
      </c>
      <c r="B161">
        <v>4102</v>
      </c>
      <c r="G161" t="str">
        <f>VLOOKUP(A161,שכר!B$2:$E491,3,FALSE)</f>
        <v xml:space="preserve">רוחאנה </v>
      </c>
    </row>
    <row r="162" spans="1:7" hidden="1" x14ac:dyDescent="0.2">
      <c r="A162" s="1066">
        <v>5243437</v>
      </c>
      <c r="B162">
        <v>281737.08</v>
      </c>
      <c r="G162" t="str">
        <f>VLOOKUP(A162,שכר!B$2:$E491,3,FALSE)</f>
        <v xml:space="preserve">מארון </v>
      </c>
    </row>
    <row r="163" spans="1:7" hidden="1" x14ac:dyDescent="0.2">
      <c r="A163" s="1066">
        <v>5250803</v>
      </c>
      <c r="B163">
        <v>79466.100000000006</v>
      </c>
      <c r="G163" t="str">
        <f>VLOOKUP(A163,שכר!B$2:$E491,3,FALSE)</f>
        <v xml:space="preserve">מנסור </v>
      </c>
    </row>
    <row r="164" spans="1:7" hidden="1" x14ac:dyDescent="0.2">
      <c r="A164" s="1066">
        <v>5250811</v>
      </c>
      <c r="B164">
        <v>15216</v>
      </c>
      <c r="G164" t="str">
        <f>VLOOKUP(A164,שכר!B$2:$E491,3,FALSE)</f>
        <v xml:space="preserve">עלו </v>
      </c>
    </row>
    <row r="165" spans="1:7" x14ac:dyDescent="0.2">
      <c r="A165" s="1069">
        <v>5250834</v>
      </c>
      <c r="B165">
        <v>74095.320000000007</v>
      </c>
      <c r="G165" t="str">
        <f>VLOOKUP(A165,שכר!B$2:$E491,3,FALSE)</f>
        <v xml:space="preserve">אבופארס </v>
      </c>
    </row>
    <row r="166" spans="1:7" hidden="1" x14ac:dyDescent="0.2">
      <c r="A166" s="1066">
        <v>5250845</v>
      </c>
      <c r="B166">
        <v>113108.02</v>
      </c>
      <c r="G166" t="str">
        <f>VLOOKUP(A166,שכר!B$2:$E491,3,FALSE)</f>
        <v xml:space="preserve">אבופארס </v>
      </c>
    </row>
    <row r="167" spans="1:7" hidden="1" x14ac:dyDescent="0.2">
      <c r="A167" s="1066">
        <v>5251624</v>
      </c>
      <c r="B167">
        <v>13370.25</v>
      </c>
      <c r="G167" t="str">
        <f>VLOOKUP(A167,שכר!B$2:$E491,3,FALSE)</f>
        <v xml:space="preserve">עלו </v>
      </c>
    </row>
    <row r="168" spans="1:7" hidden="1" x14ac:dyDescent="0.2">
      <c r="A168" s="1066">
        <v>5371560</v>
      </c>
      <c r="B168">
        <v>72905.460000000006</v>
      </c>
      <c r="G168" t="str">
        <f>VLOOKUP(A168,שכר!B$2:$E491,3,FALSE)</f>
        <v xml:space="preserve">קסראוי </v>
      </c>
    </row>
    <row r="169" spans="1:7" hidden="1" x14ac:dyDescent="0.2">
      <c r="A169" s="1066">
        <v>5387559</v>
      </c>
      <c r="B169">
        <v>48302.43</v>
      </c>
      <c r="G169" t="str">
        <f>VLOOKUP(A169,שכר!B$2:$E491,3,FALSE)</f>
        <v xml:space="preserve">אבוסעדה </v>
      </c>
    </row>
    <row r="170" spans="1:7" hidden="1" x14ac:dyDescent="0.2">
      <c r="A170" s="1066">
        <v>5439344</v>
      </c>
      <c r="B170">
        <v>50963.7</v>
      </c>
      <c r="G170" t="str">
        <f>VLOOKUP(A170,שכר!B$2:$E491,3,FALSE)</f>
        <v xml:space="preserve">שלח </v>
      </c>
    </row>
    <row r="171" spans="1:7" hidden="1" x14ac:dyDescent="0.2">
      <c r="A171" s="1066">
        <v>5439348</v>
      </c>
      <c r="B171">
        <v>88254.02</v>
      </c>
      <c r="G171" t="str">
        <f>VLOOKUP(A171,שכר!B$2:$E491,3,FALSE)</f>
        <v xml:space="preserve">דבור </v>
      </c>
    </row>
    <row r="172" spans="1:7" hidden="1" x14ac:dyDescent="0.2">
      <c r="A172" s="1066">
        <v>5440403</v>
      </c>
      <c r="B172">
        <v>87107.33</v>
      </c>
      <c r="G172" t="str">
        <f>VLOOKUP(A172,שכר!B$2:$E491,3,FALSE)</f>
        <v xml:space="preserve">אסד </v>
      </c>
    </row>
    <row r="173" spans="1:7" hidden="1" x14ac:dyDescent="0.2">
      <c r="A173" s="1066">
        <v>5440423</v>
      </c>
      <c r="B173">
        <v>50687.65</v>
      </c>
      <c r="G173" t="str">
        <f>VLOOKUP(A173,שכר!B$2:$E491,3,FALSE)</f>
        <v xml:space="preserve">רוחאנה </v>
      </c>
    </row>
    <row r="174" spans="1:7" hidden="1" x14ac:dyDescent="0.2">
      <c r="A174" s="1066">
        <v>5443083</v>
      </c>
      <c r="B174">
        <v>239997.87</v>
      </c>
      <c r="G174" t="str">
        <f>VLOOKUP(A174,שכר!B$2:$E491,3,FALSE)</f>
        <v xml:space="preserve">כיוף </v>
      </c>
    </row>
    <row r="175" spans="1:7" hidden="1" x14ac:dyDescent="0.2">
      <c r="A175" s="1066">
        <v>5443621</v>
      </c>
      <c r="B175">
        <v>45539.24</v>
      </c>
      <c r="G175" t="str">
        <f>VLOOKUP(A175,שכר!B$2:$E491,3,FALSE)</f>
        <v xml:space="preserve">אבוזלף </v>
      </c>
    </row>
    <row r="176" spans="1:7" hidden="1" x14ac:dyDescent="0.2">
      <c r="A176" s="1066">
        <v>5443641</v>
      </c>
      <c r="B176">
        <v>67785.64</v>
      </c>
      <c r="G176" t="str">
        <f>VLOOKUP(A176,שכר!B$2:$E491,3,FALSE)</f>
        <v xml:space="preserve">שרוף </v>
      </c>
    </row>
    <row r="177" spans="1:7" hidden="1" x14ac:dyDescent="0.2">
      <c r="A177" s="1066">
        <v>5445944</v>
      </c>
      <c r="B177">
        <v>47840.959999999999</v>
      </c>
      <c r="G177" t="str">
        <f>VLOOKUP(A177,שכר!B$2:$E491,3,FALSE)</f>
        <v xml:space="preserve">אבופחר </v>
      </c>
    </row>
    <row r="178" spans="1:7" x14ac:dyDescent="0.2">
      <c r="A178" s="1069">
        <v>5468927</v>
      </c>
      <c r="B178">
        <v>3994.2</v>
      </c>
      <c r="G178" t="str">
        <f>VLOOKUP(A178,שכר!B$2:$E493,3,FALSE)</f>
        <v xml:space="preserve">רומבאוט </v>
      </c>
    </row>
    <row r="179" spans="1:7" hidden="1" x14ac:dyDescent="0.2">
      <c r="A179" s="1066">
        <v>5481949</v>
      </c>
      <c r="B179">
        <v>61595.25</v>
      </c>
      <c r="G179" t="str">
        <f>VLOOKUP(A179,שכר!B$2:$E494,3,FALSE)</f>
        <v xml:space="preserve">הלון </v>
      </c>
    </row>
    <row r="180" spans="1:7" hidden="1" x14ac:dyDescent="0.2">
      <c r="A180" s="1066">
        <v>5484140</v>
      </c>
      <c r="B180">
        <v>38921.97</v>
      </c>
      <c r="G180" t="str">
        <f>VLOOKUP(A180,שכר!B$2:$E495,3,FALSE)</f>
        <v xml:space="preserve">רכאב </v>
      </c>
    </row>
    <row r="181" spans="1:7" hidden="1" x14ac:dyDescent="0.2">
      <c r="A181" s="1066">
        <v>5515856</v>
      </c>
      <c r="B181">
        <v>49173.8</v>
      </c>
      <c r="G181" t="str">
        <f>VLOOKUP(A181,שכר!B$2:$E496,3,FALSE)</f>
        <v xml:space="preserve">עבוד </v>
      </c>
    </row>
    <row r="182" spans="1:7" hidden="1" x14ac:dyDescent="0.2">
      <c r="A182" s="1066">
        <v>5515862</v>
      </c>
      <c r="B182">
        <v>45225.34</v>
      </c>
      <c r="G182" t="str">
        <f>VLOOKUP(A182,שכר!B$2:$E497,3,FALSE)</f>
        <v xml:space="preserve">פרו </v>
      </c>
    </row>
    <row r="183" spans="1:7" hidden="1" x14ac:dyDescent="0.2">
      <c r="A183" s="1066">
        <v>5515873</v>
      </c>
      <c r="B183">
        <v>151628.31</v>
      </c>
      <c r="G183" t="str">
        <f>VLOOKUP(A183,שכר!B$2:$E498,3,FALSE)</f>
        <v xml:space="preserve">אבוגאזי </v>
      </c>
    </row>
    <row r="184" spans="1:7" hidden="1" x14ac:dyDescent="0.2">
      <c r="A184" s="1066">
        <v>5515992</v>
      </c>
      <c r="B184">
        <v>45525.75</v>
      </c>
      <c r="G184" t="str">
        <f>VLOOKUP(A184,שכר!B$2:$E499,3,FALSE)</f>
        <v xml:space="preserve">רוחאנה </v>
      </c>
    </row>
    <row r="185" spans="1:7" hidden="1" x14ac:dyDescent="0.2">
      <c r="A185" s="1066">
        <v>5517362</v>
      </c>
      <c r="B185">
        <v>146084.85999999999</v>
      </c>
      <c r="G185" t="str">
        <f>VLOOKUP(A185,שכר!B$2:$E500,3,FALSE)</f>
        <v xml:space="preserve">מרון </v>
      </c>
    </row>
    <row r="186" spans="1:7" hidden="1" x14ac:dyDescent="0.2">
      <c r="A186" s="1066">
        <v>5517367</v>
      </c>
      <c r="B186">
        <v>64502</v>
      </c>
      <c r="G186" t="str">
        <f>VLOOKUP(A186,שכר!B$2:$E501,3,FALSE)</f>
        <v xml:space="preserve">חרמאן </v>
      </c>
    </row>
    <row r="187" spans="1:7" hidden="1" x14ac:dyDescent="0.2">
      <c r="A187" s="1066">
        <v>5574954</v>
      </c>
      <c r="B187">
        <v>72495.77</v>
      </c>
      <c r="G187" t="str">
        <f>VLOOKUP(A187,שכר!B$2:$E502,3,FALSE)</f>
        <v xml:space="preserve">עזמי </v>
      </c>
    </row>
    <row r="188" spans="1:7" hidden="1" x14ac:dyDescent="0.2">
      <c r="A188" s="1066">
        <v>5575110</v>
      </c>
      <c r="B188">
        <v>7148.75</v>
      </c>
      <c r="G188" t="str">
        <f>VLOOKUP(A188,שכר!B$2:$E503,3,FALSE)</f>
        <v xml:space="preserve">שרוף </v>
      </c>
    </row>
    <row r="189" spans="1:7" hidden="1" x14ac:dyDescent="0.2">
      <c r="A189" s="1066">
        <v>5575111</v>
      </c>
      <c r="B189">
        <v>79387.320000000007</v>
      </c>
      <c r="G189" t="str">
        <f>VLOOKUP(A189,שכר!B$2:$E504,3,FALSE)</f>
        <v xml:space="preserve">מלאק </v>
      </c>
    </row>
    <row r="190" spans="1:7" hidden="1" x14ac:dyDescent="0.2">
      <c r="A190" s="1066">
        <v>5575149</v>
      </c>
      <c r="B190">
        <v>81382.710000000006</v>
      </c>
      <c r="G190" t="str">
        <f>VLOOKUP(A190,שכר!B$2:$E505,3,FALSE)</f>
        <v xml:space="preserve">אבורוקן </v>
      </c>
    </row>
    <row r="191" spans="1:7" hidden="1" x14ac:dyDescent="0.2">
      <c r="A191" s="1066">
        <v>5576214</v>
      </c>
      <c r="B191">
        <v>64885.2</v>
      </c>
      <c r="G191" t="str">
        <f>VLOOKUP(A191,שכר!B$2:$E506,3,FALSE)</f>
        <v xml:space="preserve">אבו שאהין </v>
      </c>
    </row>
    <row r="192" spans="1:7" hidden="1" x14ac:dyDescent="0.2">
      <c r="A192" s="1066">
        <v>5581635</v>
      </c>
      <c r="B192">
        <v>50713.04</v>
      </c>
      <c r="G192" t="str">
        <f>VLOOKUP(A192,שכר!B$2:$E507,3,FALSE)</f>
        <v xml:space="preserve">רוחאנה </v>
      </c>
    </row>
    <row r="193" spans="1:7" hidden="1" x14ac:dyDescent="0.2">
      <c r="A193" s="1066">
        <v>5581656</v>
      </c>
      <c r="B193">
        <v>51330.65</v>
      </c>
      <c r="G193" t="str">
        <f>VLOOKUP(A193,שכר!B$2:$E508,3,FALSE)</f>
        <v xml:space="preserve">חלבי </v>
      </c>
    </row>
    <row r="194" spans="1:7" hidden="1" x14ac:dyDescent="0.2">
      <c r="A194" s="1066">
        <v>5581774</v>
      </c>
      <c r="B194">
        <v>50375.46</v>
      </c>
      <c r="G194" t="str">
        <f>VLOOKUP(A194,שכר!B$2:$E509,3,FALSE)</f>
        <v xml:space="preserve">חלאוה </v>
      </c>
    </row>
    <row r="195" spans="1:7" hidden="1" x14ac:dyDescent="0.2">
      <c r="A195" s="1066">
        <v>5625569</v>
      </c>
      <c r="B195">
        <v>44972.37</v>
      </c>
      <c r="G195" t="str">
        <f>VLOOKUP(A195,שכר!B$2:$E510,3,FALSE)</f>
        <v xml:space="preserve">אסד </v>
      </c>
    </row>
    <row r="196" spans="1:7" hidden="1" x14ac:dyDescent="0.2">
      <c r="A196" s="1066">
        <v>5625612</v>
      </c>
      <c r="B196">
        <v>26646.71</v>
      </c>
      <c r="G196" t="str">
        <f>VLOOKUP(A196,שכר!B$2:$E511,3,FALSE)</f>
        <v xml:space="preserve">עמאשה </v>
      </c>
    </row>
    <row r="197" spans="1:7" hidden="1" x14ac:dyDescent="0.2">
      <c r="A197" s="1066">
        <v>5625625</v>
      </c>
      <c r="B197">
        <v>46129.27</v>
      </c>
      <c r="G197" t="str">
        <f>VLOOKUP(A197,שכר!B$2:$E512,3,FALSE)</f>
        <v xml:space="preserve">כיוף </v>
      </c>
    </row>
    <row r="198" spans="1:7" hidden="1" x14ac:dyDescent="0.2">
      <c r="A198" s="1066">
        <v>5625702</v>
      </c>
      <c r="B198">
        <v>155999.97</v>
      </c>
      <c r="G198" t="str">
        <f>VLOOKUP(A198,שכר!B$2:$E513,3,FALSE)</f>
        <v xml:space="preserve">רכאב </v>
      </c>
    </row>
    <row r="199" spans="1:7" hidden="1" x14ac:dyDescent="0.2">
      <c r="A199" s="1066">
        <v>5625888</v>
      </c>
      <c r="B199">
        <v>160221.09</v>
      </c>
      <c r="G199" t="str">
        <f>VLOOKUP(A199,שכר!B$2:$E514,3,FALSE)</f>
        <v xml:space="preserve">כיוף </v>
      </c>
    </row>
    <row r="200" spans="1:7" hidden="1" x14ac:dyDescent="0.2">
      <c r="A200" s="1066">
        <v>5625907</v>
      </c>
      <c r="B200">
        <v>93009.35</v>
      </c>
      <c r="G200" t="str">
        <f>VLOOKUP(A200,שכר!B$2:$E515,3,FALSE)</f>
        <v xml:space="preserve">זאהר </v>
      </c>
    </row>
    <row r="201" spans="1:7" hidden="1" x14ac:dyDescent="0.2">
      <c r="A201" s="1066">
        <v>5625919</v>
      </c>
      <c r="B201">
        <v>22795.1</v>
      </c>
      <c r="G201" t="str">
        <f>VLOOKUP(A201,שכר!B$2:$E516,3,FALSE)</f>
        <v xml:space="preserve">רכאב </v>
      </c>
    </row>
    <row r="202" spans="1:7" hidden="1" x14ac:dyDescent="0.2">
      <c r="A202" s="1066">
        <v>5631585</v>
      </c>
      <c r="B202">
        <v>87342.24</v>
      </c>
      <c r="G202" t="str">
        <f>VLOOKUP(A202,שכר!B$2:$E517,3,FALSE)</f>
        <v xml:space="preserve">חמדאן </v>
      </c>
    </row>
    <row r="203" spans="1:7" hidden="1" x14ac:dyDescent="0.2">
      <c r="A203" s="1066">
        <v>5631600</v>
      </c>
      <c r="B203">
        <v>48089.39</v>
      </c>
      <c r="G203" t="str">
        <f>VLOOKUP(A203,שכר!B$2:$E518,3,FALSE)</f>
        <v xml:space="preserve">מנסור </v>
      </c>
    </row>
    <row r="204" spans="1:7" x14ac:dyDescent="0.2">
      <c r="A204" s="1069">
        <v>5631784</v>
      </c>
      <c r="B204">
        <v>10321.94</v>
      </c>
      <c r="G204" t="str">
        <f>VLOOKUP(A204,שכר!B$2:$E519,3,FALSE)</f>
        <v xml:space="preserve">אבוחמוד </v>
      </c>
    </row>
    <row r="205" spans="1:7" hidden="1" x14ac:dyDescent="0.2">
      <c r="A205" s="1066">
        <v>5688038</v>
      </c>
      <c r="B205">
        <v>17546</v>
      </c>
      <c r="G205" t="str">
        <f>VLOOKUP(A205,שכר!B$2:$E520,3,FALSE)</f>
        <v xml:space="preserve">דהוד </v>
      </c>
    </row>
    <row r="206" spans="1:7" x14ac:dyDescent="0.2">
      <c r="A206" s="1069">
        <v>5688074</v>
      </c>
      <c r="B206">
        <v>46754.92</v>
      </c>
      <c r="G206" t="str">
        <f>VLOOKUP(A206,שכר!B$2:$E521,3,FALSE)</f>
        <v xml:space="preserve">והב </v>
      </c>
    </row>
    <row r="207" spans="1:7" hidden="1" x14ac:dyDescent="0.2">
      <c r="A207" s="1066">
        <v>5688075</v>
      </c>
      <c r="B207">
        <v>37869.15</v>
      </c>
      <c r="G207" t="str">
        <f>VLOOKUP(A207,שכר!B$2:$E522,3,FALSE)</f>
        <v xml:space="preserve">חרמאן </v>
      </c>
    </row>
    <row r="208" spans="1:7" hidden="1" x14ac:dyDescent="0.2">
      <c r="A208" s="1066">
        <v>5688223</v>
      </c>
      <c r="B208">
        <v>63486.95</v>
      </c>
      <c r="G208" t="str">
        <f>VLOOKUP(A208,שכר!B$2:$E523,3,FALSE)</f>
        <v xml:space="preserve">רוחאנה </v>
      </c>
    </row>
    <row r="209" spans="1:7" hidden="1" x14ac:dyDescent="0.2">
      <c r="A209" s="1066">
        <v>5692004</v>
      </c>
      <c r="B209">
        <v>71843.100000000006</v>
      </c>
      <c r="G209" t="str">
        <f>VLOOKUP(A209,שכר!B$2:$E524,3,FALSE)</f>
        <v xml:space="preserve">אסד </v>
      </c>
    </row>
    <row r="210" spans="1:7" hidden="1" x14ac:dyDescent="0.2">
      <c r="A210" s="1066">
        <v>5692116</v>
      </c>
      <c r="B210">
        <v>76403.960000000006</v>
      </c>
      <c r="G210" t="str">
        <f>VLOOKUP(A210,שכר!B$2:$E525,3,FALSE)</f>
        <v xml:space="preserve">מלשי </v>
      </c>
    </row>
    <row r="211" spans="1:7" hidden="1" x14ac:dyDescent="0.2">
      <c r="A211" s="1066">
        <v>5692217</v>
      </c>
      <c r="B211">
        <v>44048.45</v>
      </c>
      <c r="G211" t="str">
        <f>VLOOKUP(A211,שכר!B$2:$E526,3,FALSE)</f>
        <v xml:space="preserve">זהראלדין </v>
      </c>
    </row>
    <row r="212" spans="1:7" x14ac:dyDescent="0.2">
      <c r="A212" s="1069">
        <v>5698570</v>
      </c>
      <c r="B212">
        <v>4280</v>
      </c>
      <c r="G212" t="str">
        <f>VLOOKUP(A212,שכר!B$2:$E527,3,FALSE)</f>
        <v xml:space="preserve">אבועאסי </v>
      </c>
    </row>
    <row r="213" spans="1:7" hidden="1" x14ac:dyDescent="0.2">
      <c r="A213" s="1066">
        <v>5698805</v>
      </c>
      <c r="B213">
        <v>77036.7</v>
      </c>
      <c r="G213" t="str">
        <f>VLOOKUP(A213,שכר!B$2:$E528,3,FALSE)</f>
        <v xml:space="preserve">קעבייה </v>
      </c>
    </row>
    <row r="214" spans="1:7" hidden="1" x14ac:dyDescent="0.2">
      <c r="A214" s="1066">
        <v>5702429</v>
      </c>
      <c r="B214">
        <v>143729.99</v>
      </c>
      <c r="G214" t="str">
        <f>VLOOKUP(A214,שכר!B$2:$E529,3,FALSE)</f>
        <v xml:space="preserve">נגאר </v>
      </c>
    </row>
    <row r="215" spans="1:7" hidden="1" x14ac:dyDescent="0.2">
      <c r="A215" s="1066">
        <v>5703154</v>
      </c>
      <c r="B215">
        <v>41009.800000000003</v>
      </c>
      <c r="G215" t="str">
        <f>VLOOKUP(A215,שכר!B$2:$E530,3,FALSE)</f>
        <v xml:space="preserve">אסד </v>
      </c>
    </row>
    <row r="216" spans="1:7" hidden="1" x14ac:dyDescent="0.2">
      <c r="A216" s="1066">
        <v>5703171</v>
      </c>
      <c r="B216">
        <v>77224.990000000005</v>
      </c>
      <c r="G216" t="str">
        <f>VLOOKUP(A216,שכר!B$2:$E531,3,FALSE)</f>
        <v xml:space="preserve">חמדאן </v>
      </c>
    </row>
    <row r="217" spans="1:7" hidden="1" x14ac:dyDescent="0.2">
      <c r="A217" s="1066">
        <v>5703234</v>
      </c>
      <c r="B217">
        <v>42078.73</v>
      </c>
      <c r="G217" t="str">
        <f>VLOOKUP(A217,שכר!B$2:$E532,3,FALSE)</f>
        <v xml:space="preserve">אלעלי </v>
      </c>
    </row>
    <row r="218" spans="1:7" hidden="1" x14ac:dyDescent="0.2">
      <c r="A218" s="1066">
        <v>5755856</v>
      </c>
      <c r="B218">
        <v>92647.18</v>
      </c>
      <c r="G218" t="str">
        <f>VLOOKUP(A218,שכר!B$2:$E533,3,FALSE)</f>
        <v xml:space="preserve">טויל </v>
      </c>
    </row>
    <row r="219" spans="1:7" hidden="1" x14ac:dyDescent="0.2">
      <c r="A219" s="1066">
        <v>5760050</v>
      </c>
      <c r="B219">
        <v>15667.75</v>
      </c>
      <c r="G219" t="str">
        <f>VLOOKUP(A219,שכר!B$2:$E534,3,FALSE)</f>
        <v xml:space="preserve">זהראלדין </v>
      </c>
    </row>
    <row r="220" spans="1:7" hidden="1" x14ac:dyDescent="0.2">
      <c r="A220" s="1066">
        <v>5760108</v>
      </c>
      <c r="B220">
        <v>46145.11</v>
      </c>
      <c r="G220" t="str">
        <f>VLOOKUP(A220,שכר!B$2:$E535,3,FALSE)</f>
        <v xml:space="preserve">אבוסעדה </v>
      </c>
    </row>
    <row r="221" spans="1:7" hidden="1" x14ac:dyDescent="0.2">
      <c r="A221" s="1066">
        <v>5760408</v>
      </c>
      <c r="B221">
        <v>160338.71</v>
      </c>
      <c r="G221" t="str">
        <f>VLOOKUP(A221,שכר!B$2:$E536,3,FALSE)</f>
        <v xml:space="preserve">לילאוי </v>
      </c>
    </row>
    <row r="222" spans="1:7" hidden="1" x14ac:dyDescent="0.2">
      <c r="A222" s="1066">
        <v>5763010</v>
      </c>
      <c r="B222">
        <v>44769.79</v>
      </c>
      <c r="G222" t="str">
        <f>VLOOKUP(A222,שכר!B$2:$E537,3,FALSE)</f>
        <v xml:space="preserve">חלבי </v>
      </c>
    </row>
    <row r="223" spans="1:7" hidden="1" x14ac:dyDescent="0.2">
      <c r="A223" s="1066">
        <v>5763016</v>
      </c>
      <c r="B223">
        <v>84010.2</v>
      </c>
      <c r="G223" t="str">
        <f>VLOOKUP(A223,שכר!B$2:$E538,3,FALSE)</f>
        <v xml:space="preserve">עזמי </v>
      </c>
    </row>
    <row r="224" spans="1:7" hidden="1" x14ac:dyDescent="0.2">
      <c r="A224" s="1066">
        <v>5763017</v>
      </c>
      <c r="B224">
        <v>73873.820000000007</v>
      </c>
      <c r="G224" t="str">
        <f>VLOOKUP(A224,שכר!B$2:$E539,3,FALSE)</f>
        <v xml:space="preserve">מוראד </v>
      </c>
    </row>
    <row r="225" spans="1:7" x14ac:dyDescent="0.2">
      <c r="A225" s="1069">
        <v>5763019</v>
      </c>
      <c r="B225">
        <v>3121.93</v>
      </c>
      <c r="G225" t="str">
        <f>VLOOKUP(A225,שכר!B$2:$E540,3,FALSE)</f>
        <v xml:space="preserve">סראיאלדין </v>
      </c>
    </row>
    <row r="226" spans="1:7" hidden="1" x14ac:dyDescent="0.2">
      <c r="A226" s="1066">
        <v>5763021</v>
      </c>
      <c r="B226">
        <v>54471.45</v>
      </c>
      <c r="G226" t="str">
        <f>VLOOKUP(A226,שכר!B$2:$E541,3,FALSE)</f>
        <v xml:space="preserve">והב </v>
      </c>
    </row>
    <row r="227" spans="1:7" hidden="1" x14ac:dyDescent="0.2">
      <c r="A227" s="1066">
        <v>5817510</v>
      </c>
      <c r="B227">
        <v>108732.91</v>
      </c>
      <c r="G227" t="str">
        <f>VLOOKUP(A227,שכר!B$2:$E542,3,FALSE)</f>
        <v xml:space="preserve">סיף </v>
      </c>
    </row>
    <row r="228" spans="1:7" hidden="1" x14ac:dyDescent="0.2">
      <c r="A228" s="1066">
        <v>5818955</v>
      </c>
      <c r="B228">
        <v>17382.150000000001</v>
      </c>
      <c r="G228" t="str">
        <f>VLOOKUP(A228,שכר!B$2:$E543,3,FALSE)</f>
        <v xml:space="preserve">סקר </v>
      </c>
    </row>
    <row r="229" spans="1:7" hidden="1" x14ac:dyDescent="0.2">
      <c r="A229" s="1066">
        <v>5853061</v>
      </c>
      <c r="B229">
        <v>37919.480000000003</v>
      </c>
      <c r="G229" t="str">
        <f>VLOOKUP(A229,שכר!B$2:$E544,3,FALSE)</f>
        <v xml:space="preserve">מנסור </v>
      </c>
    </row>
    <row r="230" spans="1:7" hidden="1" x14ac:dyDescent="0.2">
      <c r="A230" s="1066">
        <v>5854289</v>
      </c>
      <c r="B230">
        <v>71031.97</v>
      </c>
      <c r="G230" t="str">
        <f>VLOOKUP(A230,שכר!B$2:$E545,3,FALSE)</f>
        <v xml:space="preserve">שרוף </v>
      </c>
    </row>
    <row r="231" spans="1:7" hidden="1" x14ac:dyDescent="0.2">
      <c r="A231" s="1066">
        <v>5854368</v>
      </c>
      <c r="B231">
        <v>97635.64</v>
      </c>
      <c r="G231" t="str">
        <f>VLOOKUP(A231,שכר!B$2:$E546,3,FALSE)</f>
        <v xml:space="preserve">אבורוקן </v>
      </c>
    </row>
    <row r="232" spans="1:7" hidden="1" x14ac:dyDescent="0.2">
      <c r="A232" s="1066">
        <v>5859254</v>
      </c>
      <c r="B232">
        <v>65212.57</v>
      </c>
      <c r="G232" t="str">
        <f>VLOOKUP(A232,שכר!B$2:$E547,3,FALSE)</f>
        <v xml:space="preserve">כיוף </v>
      </c>
    </row>
    <row r="233" spans="1:7" hidden="1" x14ac:dyDescent="0.2">
      <c r="A233" s="1066">
        <v>5891062</v>
      </c>
      <c r="B233">
        <v>44153.41</v>
      </c>
      <c r="G233" t="str">
        <f>VLOOKUP(A233,שכר!B$2:$E548,3,FALSE)</f>
        <v xml:space="preserve">אבוסעדה </v>
      </c>
    </row>
    <row r="234" spans="1:7" hidden="1" x14ac:dyDescent="0.2">
      <c r="A234" s="1066">
        <v>5891124</v>
      </c>
      <c r="B234">
        <v>94934.42</v>
      </c>
      <c r="G234" t="str">
        <f>VLOOKUP(A234,שכר!B$2:$E549,3,FALSE)</f>
        <v xml:space="preserve">עלו </v>
      </c>
    </row>
    <row r="235" spans="1:7" hidden="1" x14ac:dyDescent="0.2">
      <c r="A235" s="1066">
        <v>5897607</v>
      </c>
      <c r="B235">
        <v>82691.55</v>
      </c>
      <c r="G235" t="str">
        <f>VLOOKUP(A235,שכר!B$2:$E550,3,FALSE)</f>
        <v xml:space="preserve">סאבא </v>
      </c>
    </row>
    <row r="236" spans="1:7" hidden="1" x14ac:dyDescent="0.2">
      <c r="A236" s="1066">
        <v>5897615</v>
      </c>
      <c r="B236">
        <v>82490.16</v>
      </c>
      <c r="G236" t="str">
        <f>VLOOKUP(A236,שכר!B$2:$E551,3,FALSE)</f>
        <v xml:space="preserve">כיוף </v>
      </c>
    </row>
    <row r="237" spans="1:7" hidden="1" x14ac:dyDescent="0.2">
      <c r="A237" s="1066">
        <v>5897797</v>
      </c>
      <c r="B237">
        <v>84109.11</v>
      </c>
      <c r="G237" t="str">
        <f>VLOOKUP(A237,שכר!B$2:$E552,3,FALSE)</f>
        <v xml:space="preserve">אבורוקן </v>
      </c>
    </row>
    <row r="238" spans="1:7" hidden="1" x14ac:dyDescent="0.2">
      <c r="A238" s="1066">
        <v>5931960</v>
      </c>
      <c r="B238">
        <v>84553.32</v>
      </c>
      <c r="G238" t="str">
        <f>VLOOKUP(A238,שכר!B$2:$E553,3,FALSE)</f>
        <v xml:space="preserve">הלון </v>
      </c>
    </row>
    <row r="239" spans="1:7" hidden="1" x14ac:dyDescent="0.2">
      <c r="A239" s="1066">
        <v>5934536</v>
      </c>
      <c r="B239">
        <v>33748.199999999997</v>
      </c>
      <c r="G239" t="str">
        <f>VLOOKUP(A239,שכר!B$2:$E554,3,FALSE)</f>
        <v xml:space="preserve">רוחאנה </v>
      </c>
    </row>
    <row r="240" spans="1:7" hidden="1" x14ac:dyDescent="0.2">
      <c r="A240" s="1066">
        <v>5934878</v>
      </c>
      <c r="B240">
        <v>94015.92</v>
      </c>
      <c r="G240" t="str">
        <f>VLOOKUP(A240,שכר!B$2:$E555,3,FALSE)</f>
        <v xml:space="preserve">אבוסעדה </v>
      </c>
    </row>
    <row r="241" spans="1:7" hidden="1" x14ac:dyDescent="0.2">
      <c r="A241" s="1066">
        <v>5934908</v>
      </c>
      <c r="B241">
        <v>62997.91</v>
      </c>
      <c r="G241" t="str">
        <f>VLOOKUP(A241,שכר!B$2:$E556,3,FALSE)</f>
        <v xml:space="preserve">שרוף </v>
      </c>
    </row>
    <row r="242" spans="1:7" hidden="1" x14ac:dyDescent="0.2">
      <c r="A242" s="1066">
        <v>5938201</v>
      </c>
      <c r="B242">
        <v>2463</v>
      </c>
      <c r="G242" t="str">
        <f>VLOOKUP(A242,שכר!B$2:$E557,3,FALSE)</f>
        <v xml:space="preserve">אבורוקן </v>
      </c>
    </row>
    <row r="243" spans="1:7" hidden="1" x14ac:dyDescent="0.2">
      <c r="A243" s="1066">
        <v>5938504</v>
      </c>
      <c r="B243">
        <v>124841.14</v>
      </c>
      <c r="G243" t="str">
        <f>VLOOKUP(A243,שכר!B$2:$E558,3,FALSE)</f>
        <v>מנסור מערוף</v>
      </c>
    </row>
    <row r="244" spans="1:7" hidden="1" x14ac:dyDescent="0.2">
      <c r="A244" s="1066">
        <v>5938514</v>
      </c>
      <c r="B244">
        <v>81739.3</v>
      </c>
      <c r="G244" t="str">
        <f>VLOOKUP(A244,שכר!B$2:$E559,3,FALSE)</f>
        <v xml:space="preserve">לאלא </v>
      </c>
    </row>
    <row r="245" spans="1:7" hidden="1" x14ac:dyDescent="0.2">
      <c r="A245" s="1066">
        <v>5944505</v>
      </c>
      <c r="B245">
        <v>65150.91</v>
      </c>
      <c r="G245" t="str">
        <f>VLOOKUP(A245,שכר!B$2:$E560,3,FALSE)</f>
        <v xml:space="preserve">סעיד </v>
      </c>
    </row>
    <row r="246" spans="1:7" hidden="1" x14ac:dyDescent="0.2">
      <c r="A246" s="1066">
        <v>5944677</v>
      </c>
      <c r="B246">
        <v>58410.83</v>
      </c>
      <c r="G246" t="str">
        <f>VLOOKUP(A246,שכר!B$2:$E561,3,FALSE)</f>
        <v xml:space="preserve">סויטאת </v>
      </c>
    </row>
    <row r="247" spans="1:7" hidden="1" x14ac:dyDescent="0.2">
      <c r="A247" s="1066">
        <v>5944901</v>
      </c>
      <c r="B247">
        <v>67219.13</v>
      </c>
      <c r="G247" t="str">
        <f>VLOOKUP(A247,שכר!B$2:$E562,3,FALSE)</f>
        <v xml:space="preserve">סאבא </v>
      </c>
    </row>
    <row r="248" spans="1:7" hidden="1" x14ac:dyDescent="0.2">
      <c r="A248" s="1066">
        <v>5944912</v>
      </c>
      <c r="B248">
        <v>123482.63</v>
      </c>
      <c r="G248" t="str">
        <f>VLOOKUP(A248,שכר!B$2:$E563,3,FALSE)</f>
        <v xml:space="preserve">סקר </v>
      </c>
    </row>
    <row r="249" spans="1:7" hidden="1" x14ac:dyDescent="0.2">
      <c r="A249" s="1066">
        <v>5944922</v>
      </c>
      <c r="B249">
        <v>63017.16</v>
      </c>
      <c r="G249" t="str">
        <f>VLOOKUP(A249,שכר!B$2:$E564,3,FALSE)</f>
        <v xml:space="preserve">שרוף </v>
      </c>
    </row>
    <row r="250" spans="1:7" hidden="1" x14ac:dyDescent="0.2">
      <c r="A250" s="1066">
        <v>5944923</v>
      </c>
      <c r="B250">
        <v>123236.76</v>
      </c>
      <c r="G250" t="str">
        <f>VLOOKUP(A250,שכר!B$2:$E565,3,FALSE)</f>
        <v xml:space="preserve">זאהר </v>
      </c>
    </row>
    <row r="251" spans="1:7" hidden="1" x14ac:dyDescent="0.2">
      <c r="A251" s="1066">
        <v>5947278</v>
      </c>
      <c r="B251">
        <v>60929.74</v>
      </c>
      <c r="G251" t="str">
        <f>VLOOKUP(A251,שכר!B$2:$E566,3,FALSE)</f>
        <v xml:space="preserve">מלאק </v>
      </c>
    </row>
    <row r="252" spans="1:7" hidden="1" x14ac:dyDescent="0.2">
      <c r="A252" s="1066">
        <v>5947985</v>
      </c>
      <c r="B252">
        <v>5821.6</v>
      </c>
      <c r="G252" t="str">
        <f>VLOOKUP(A252,שכר!B$2:$E567,3,FALSE)</f>
        <v xml:space="preserve">חלאוה </v>
      </c>
    </row>
    <row r="253" spans="1:7" hidden="1" x14ac:dyDescent="0.2">
      <c r="A253" s="1066">
        <v>5954395</v>
      </c>
      <c r="B253">
        <v>40470.35</v>
      </c>
      <c r="G253" t="str">
        <f>VLOOKUP(A253,שכר!B$2:$E568,3,FALSE)</f>
        <v xml:space="preserve">שרוף </v>
      </c>
    </row>
    <row r="254" spans="1:7" hidden="1" x14ac:dyDescent="0.2">
      <c r="A254" s="1066">
        <v>5987092</v>
      </c>
      <c r="B254">
        <v>97789.38</v>
      </c>
      <c r="G254" t="str">
        <f>VLOOKUP(A254,שכר!B$2:$E569,3,FALSE)</f>
        <v xml:space="preserve">אבורוקן </v>
      </c>
    </row>
    <row r="255" spans="1:7" hidden="1" x14ac:dyDescent="0.2">
      <c r="A255" s="1066">
        <v>5987470</v>
      </c>
      <c r="B255">
        <v>63110.81</v>
      </c>
      <c r="G255" t="str">
        <f>VLOOKUP(A255,שכר!B$2:$E570,3,FALSE)</f>
        <v xml:space="preserve">שרוף </v>
      </c>
    </row>
    <row r="256" spans="1:7" hidden="1" x14ac:dyDescent="0.2">
      <c r="A256" s="1066">
        <v>5992863</v>
      </c>
      <c r="B256">
        <v>79995.149999999994</v>
      </c>
      <c r="G256" t="str">
        <f>VLOOKUP(A256,שכר!B$2:$E571,3,FALSE)</f>
        <v xml:space="preserve">מנסור </v>
      </c>
    </row>
    <row r="257" spans="1:7" hidden="1" x14ac:dyDescent="0.2">
      <c r="A257" s="1066">
        <v>5992866</v>
      </c>
      <c r="B257">
        <v>85236.34</v>
      </c>
      <c r="G257" t="str">
        <f>VLOOKUP(A257,שכר!B$2:$E572,3,FALSE)</f>
        <v xml:space="preserve">והב </v>
      </c>
    </row>
    <row r="258" spans="1:7" hidden="1" x14ac:dyDescent="0.2">
      <c r="A258" s="1066">
        <v>5993069</v>
      </c>
      <c r="B258">
        <v>66659.77</v>
      </c>
      <c r="G258" t="str">
        <f>VLOOKUP(A258,שכר!B$2:$E573,3,FALSE)</f>
        <v xml:space="preserve">אבורוקן </v>
      </c>
    </row>
    <row r="259" spans="1:7" hidden="1" x14ac:dyDescent="0.2">
      <c r="A259" s="1066">
        <v>5994911</v>
      </c>
      <c r="B259">
        <v>276172.46999999997</v>
      </c>
      <c r="G259" t="str">
        <f>VLOOKUP(A259,שכר!B$2:$E574,3,FALSE)</f>
        <v xml:space="preserve">שרוף </v>
      </c>
    </row>
    <row r="260" spans="1:7" hidden="1" x14ac:dyDescent="0.2">
      <c r="A260" s="1066">
        <v>5996497</v>
      </c>
      <c r="B260">
        <v>88863.26</v>
      </c>
      <c r="G260" t="str">
        <f>VLOOKUP(A260,שכר!B$2:$E575,3,FALSE)</f>
        <v xml:space="preserve">מחרז </v>
      </c>
    </row>
    <row r="261" spans="1:7" hidden="1" x14ac:dyDescent="0.2">
      <c r="A261" s="1066">
        <v>6128021</v>
      </c>
      <c r="B261">
        <v>117138.63</v>
      </c>
      <c r="G261" t="str">
        <f>VLOOKUP(A261,שכר!B$2:$E576,3,FALSE)</f>
        <v xml:space="preserve">הלון </v>
      </c>
    </row>
    <row r="262" spans="1:7" hidden="1" x14ac:dyDescent="0.2">
      <c r="A262" s="1066">
        <v>6287104</v>
      </c>
      <c r="B262">
        <v>46998.16</v>
      </c>
      <c r="G262" t="str">
        <f>VLOOKUP(A262,שכר!B$2:$E577,3,FALSE)</f>
        <v xml:space="preserve">סאבא </v>
      </c>
    </row>
    <row r="263" spans="1:7" hidden="1" x14ac:dyDescent="0.2">
      <c r="A263" s="1066">
        <v>6287487</v>
      </c>
      <c r="B263">
        <v>107878.79</v>
      </c>
      <c r="G263" t="str">
        <f>VLOOKUP(A263,שכר!B$2:$E578,3,FALSE)</f>
        <v xml:space="preserve">כיוף </v>
      </c>
    </row>
    <row r="264" spans="1:7" hidden="1" x14ac:dyDescent="0.2">
      <c r="A264" s="1066">
        <v>6574078</v>
      </c>
      <c r="B264">
        <v>61083.31</v>
      </c>
      <c r="G264" t="str">
        <f>VLOOKUP(A264,שכר!B$2:$E579,3,FALSE)</f>
        <v xml:space="preserve">עלו </v>
      </c>
    </row>
    <row r="265" spans="1:7" hidden="1" x14ac:dyDescent="0.2">
      <c r="A265" s="1066">
        <v>6606771</v>
      </c>
      <c r="B265">
        <v>10911.82</v>
      </c>
      <c r="G265" t="str">
        <f>VLOOKUP(A265,שכר!B$2:$E580,3,FALSE)</f>
        <v xml:space="preserve">קוזלי </v>
      </c>
    </row>
    <row r="266" spans="1:7" hidden="1" x14ac:dyDescent="0.2">
      <c r="A266" s="1066">
        <v>6614401</v>
      </c>
      <c r="B266">
        <v>3440.67</v>
      </c>
      <c r="G266" t="str">
        <f>VLOOKUP(A266,שכר!B$2:$E581,3,FALSE)</f>
        <v xml:space="preserve">שרוף </v>
      </c>
    </row>
    <row r="267" spans="1:7" hidden="1" x14ac:dyDescent="0.2">
      <c r="A267" s="1066">
        <v>6614470</v>
      </c>
      <c r="B267">
        <v>39827.370000000003</v>
      </c>
      <c r="G267" t="str">
        <f>VLOOKUP(A267,שכר!B$2:$E582,3,FALSE)</f>
        <v xml:space="preserve">בעיני </v>
      </c>
    </row>
    <row r="268" spans="1:7" hidden="1" x14ac:dyDescent="0.2">
      <c r="A268" s="1066">
        <v>6623133</v>
      </c>
      <c r="B268">
        <v>45761.599999999999</v>
      </c>
      <c r="G268" t="str">
        <f>VLOOKUP(A268,שכר!B$2:$E583,3,FALSE)</f>
        <v xml:space="preserve">חלבי </v>
      </c>
    </row>
    <row r="269" spans="1:7" x14ac:dyDescent="0.2">
      <c r="A269" s="1069">
        <v>6670746</v>
      </c>
      <c r="B269">
        <v>19981.29</v>
      </c>
      <c r="G269" t="str">
        <f>VLOOKUP(A269,שכר!B$2:$E584,3,FALSE)</f>
        <v xml:space="preserve">נסראלדין </v>
      </c>
    </row>
    <row r="270" spans="1:7" hidden="1" x14ac:dyDescent="0.2">
      <c r="A270" s="1066">
        <v>8094430</v>
      </c>
      <c r="B270">
        <v>44928.41</v>
      </c>
      <c r="G270" t="str">
        <f>VLOOKUP(A270,שכר!B$2:$E585,3,FALSE)</f>
        <v xml:space="preserve">מוסטפא </v>
      </c>
    </row>
    <row r="271" spans="1:7" hidden="1" x14ac:dyDescent="0.2">
      <c r="A271" s="1066">
        <v>8099260</v>
      </c>
      <c r="B271">
        <v>18404.95</v>
      </c>
      <c r="G271" t="str">
        <f>VLOOKUP(A271,שכר!B$2:$E586,3,FALSE)</f>
        <v xml:space="preserve">עלו </v>
      </c>
    </row>
    <row r="272" spans="1:7" hidden="1" x14ac:dyDescent="0.2">
      <c r="A272" s="1066">
        <v>20055794</v>
      </c>
      <c r="B272">
        <v>49300.61</v>
      </c>
      <c r="G272" t="str">
        <f>VLOOKUP(A272,שכר!B$2:$E587,3,FALSE)</f>
        <v xml:space="preserve">מלאק </v>
      </c>
    </row>
    <row r="273" spans="1:7" x14ac:dyDescent="0.2">
      <c r="A273" s="1069">
        <v>20056779</v>
      </c>
      <c r="B273">
        <v>27623.26</v>
      </c>
      <c r="G273" t="str">
        <f>VLOOKUP(A273,שכר!B$2:$E588,3,FALSE)</f>
        <v xml:space="preserve">ביבאר </v>
      </c>
    </row>
    <row r="274" spans="1:7" x14ac:dyDescent="0.2">
      <c r="A274" s="1069">
        <v>20064680</v>
      </c>
      <c r="B274">
        <v>10724.42</v>
      </c>
      <c r="G274" t="str">
        <f>VLOOKUP(A274,שכר!B$2:$E589,3,FALSE)</f>
        <v xml:space="preserve">חאטום </v>
      </c>
    </row>
    <row r="275" spans="1:7" x14ac:dyDescent="0.2">
      <c r="A275" s="1069">
        <v>20077265</v>
      </c>
      <c r="B275">
        <v>13650.39</v>
      </c>
      <c r="G275" t="str">
        <f>VLOOKUP(A275,שכר!B$2:$E590,3,FALSE)</f>
        <v xml:space="preserve">אבורוקן </v>
      </c>
    </row>
    <row r="276" spans="1:7" x14ac:dyDescent="0.2">
      <c r="A276" s="1069">
        <v>20101925</v>
      </c>
      <c r="B276">
        <v>8160.14</v>
      </c>
      <c r="G276" t="str">
        <f>VLOOKUP(A276,שכר!B$2:$E591,3,FALSE)</f>
        <v xml:space="preserve">עבוד </v>
      </c>
    </row>
    <row r="277" spans="1:7" x14ac:dyDescent="0.2">
      <c r="A277" s="1069">
        <v>20118879</v>
      </c>
      <c r="B277">
        <v>6903.98</v>
      </c>
      <c r="G277" t="str">
        <f>VLOOKUP(A277,שכר!B$2:$E592,3,FALSE)</f>
        <v xml:space="preserve">חכים </v>
      </c>
    </row>
    <row r="278" spans="1:7" hidden="1" x14ac:dyDescent="0.2">
      <c r="A278" s="1066">
        <v>20152285</v>
      </c>
      <c r="B278">
        <v>46982.94</v>
      </c>
      <c r="G278" t="str">
        <f>VLOOKUP(A278,שכר!B$2:$E593,3,FALSE)</f>
        <v xml:space="preserve">מחול </v>
      </c>
    </row>
    <row r="279" spans="1:7" hidden="1" x14ac:dyDescent="0.2">
      <c r="A279" s="1066">
        <v>20153184</v>
      </c>
      <c r="B279">
        <v>4657.6899999999996</v>
      </c>
      <c r="G279" t="str">
        <f>VLOOKUP(A279,שכר!B$2:$E594,3,FALSE)</f>
        <v xml:space="preserve">כמאל </v>
      </c>
    </row>
    <row r="280" spans="1:7" hidden="1" x14ac:dyDescent="0.2">
      <c r="A280" s="1066">
        <v>20332162</v>
      </c>
      <c r="B280">
        <v>43993.99</v>
      </c>
      <c r="G280" t="str">
        <f>VLOOKUP(A280,שכר!B$2:$E595,3,FALSE)</f>
        <v xml:space="preserve">נגאר </v>
      </c>
    </row>
    <row r="281" spans="1:7" hidden="1" x14ac:dyDescent="0.2">
      <c r="A281" s="1066">
        <v>20363723</v>
      </c>
      <c r="B281">
        <v>43684.12</v>
      </c>
      <c r="G281" t="str">
        <f>VLOOKUP(A281,שכר!B$2:$E596,3,FALSE)</f>
        <v xml:space="preserve">שרוף </v>
      </c>
    </row>
    <row r="282" spans="1:7" hidden="1" x14ac:dyDescent="0.2">
      <c r="A282" s="1066">
        <v>20376309</v>
      </c>
      <c r="B282">
        <v>730.15</v>
      </c>
      <c r="G282" t="str">
        <f>VLOOKUP(A282,שכר!B$2:$E597,3,FALSE)</f>
        <v xml:space="preserve">אבורוקן </v>
      </c>
    </row>
    <row r="283" spans="1:7" x14ac:dyDescent="0.2">
      <c r="A283" s="1069">
        <v>20376327</v>
      </c>
      <c r="B283">
        <v>16402.82</v>
      </c>
      <c r="G283" t="str">
        <f>VLOOKUP(A283,שכר!B$2:$E598,3,FALSE)</f>
        <v xml:space="preserve">עמאשה </v>
      </c>
    </row>
    <row r="284" spans="1:7" hidden="1" x14ac:dyDescent="0.2">
      <c r="A284" s="1066">
        <v>20412261</v>
      </c>
      <c r="B284">
        <v>26724.34</v>
      </c>
      <c r="G284" t="str">
        <f>VLOOKUP(A284,שכר!B$2:$E599,3,FALSE)</f>
        <v xml:space="preserve">כיוף </v>
      </c>
    </row>
    <row r="285" spans="1:7" x14ac:dyDescent="0.2">
      <c r="A285" s="1069">
        <v>20416636</v>
      </c>
      <c r="B285">
        <v>48942.57</v>
      </c>
      <c r="G285" t="str">
        <f>VLOOKUP(A285,שכר!B$2:$E600,3,FALSE)</f>
        <v xml:space="preserve">אלשייך </v>
      </c>
    </row>
    <row r="286" spans="1:7" x14ac:dyDescent="0.2">
      <c r="A286" s="1069">
        <v>20438475</v>
      </c>
      <c r="B286">
        <v>8818.48</v>
      </c>
      <c r="G286" t="str">
        <f>VLOOKUP(A286,שכר!B$2:$E601,3,FALSE)</f>
        <v xml:space="preserve">חלבי </v>
      </c>
    </row>
    <row r="287" spans="1:7" x14ac:dyDescent="0.2">
      <c r="A287" s="1069">
        <v>20439570</v>
      </c>
      <c r="B287">
        <v>52439.500000000007</v>
      </c>
      <c r="G287" t="str">
        <f>VLOOKUP(A287,שכר!B$2:$E602,3,FALSE)</f>
        <v xml:space="preserve">אבורוקן </v>
      </c>
    </row>
    <row r="288" spans="1:7" hidden="1" x14ac:dyDescent="0.2">
      <c r="A288" s="1066">
        <v>20440824</v>
      </c>
      <c r="B288">
        <v>31915.119999999999</v>
      </c>
      <c r="G288" t="str">
        <f>VLOOKUP(A288,שכר!B$2:$E603,3,FALSE)</f>
        <v xml:space="preserve">סעב </v>
      </c>
    </row>
    <row r="289" spans="1:7" x14ac:dyDescent="0.2">
      <c r="A289" s="1069">
        <v>20467774</v>
      </c>
      <c r="B289">
        <v>9678.4500000000007</v>
      </c>
      <c r="G289" t="str">
        <f>VLOOKUP(A289,שכר!B$2:$E604,3,FALSE)</f>
        <v xml:space="preserve">חלבי </v>
      </c>
    </row>
    <row r="290" spans="1:7" x14ac:dyDescent="0.2">
      <c r="A290" s="1069">
        <v>20571566</v>
      </c>
      <c r="B290">
        <v>6838.58</v>
      </c>
      <c r="G290" t="str">
        <f>VLOOKUP(A290,שכר!B$2:$E605,3,FALSE)</f>
        <v xml:space="preserve">נסראלדין </v>
      </c>
    </row>
    <row r="291" spans="1:7" hidden="1" x14ac:dyDescent="0.2">
      <c r="A291" s="1066">
        <v>20579819</v>
      </c>
      <c r="B291">
        <v>52379.17</v>
      </c>
      <c r="G291" t="str">
        <f>VLOOKUP(A291,שכר!B$2:$E606,3,FALSE)</f>
        <v xml:space="preserve">שכידם </v>
      </c>
    </row>
    <row r="292" spans="1:7" hidden="1" x14ac:dyDescent="0.2">
      <c r="A292" s="1066">
        <v>20581909</v>
      </c>
      <c r="B292">
        <v>34376</v>
      </c>
      <c r="G292" t="str">
        <f>VLOOKUP(A292,שכר!B$2:$E607,3,FALSE)</f>
        <v xml:space="preserve">אבוראיד </v>
      </c>
    </row>
    <row r="293" spans="1:7" hidden="1" x14ac:dyDescent="0.2">
      <c r="A293" s="1066">
        <v>30017481</v>
      </c>
      <c r="B293">
        <v>23075.57</v>
      </c>
      <c r="G293" t="str">
        <f>VLOOKUP(A293,שכר!B$2:$E608,3,FALSE)</f>
        <v xml:space="preserve">אסעד </v>
      </c>
    </row>
    <row r="294" spans="1:7" x14ac:dyDescent="0.2">
      <c r="A294" s="1069">
        <v>30018623</v>
      </c>
      <c r="B294">
        <v>51363.67</v>
      </c>
      <c r="G294" t="str">
        <f>VLOOKUP(A294,שכר!B$2:$E609,3,FALSE)</f>
        <v xml:space="preserve">אלשייך </v>
      </c>
    </row>
    <row r="295" spans="1:7" x14ac:dyDescent="0.2">
      <c r="A295" s="1069">
        <v>30048390</v>
      </c>
      <c r="B295">
        <v>14608.67</v>
      </c>
      <c r="G295" t="str">
        <f>VLOOKUP(A295,שכר!B$2:$E610,3,FALSE)</f>
        <v xml:space="preserve">זאהר </v>
      </c>
    </row>
    <row r="296" spans="1:7" x14ac:dyDescent="0.2">
      <c r="A296" s="1069">
        <v>30083634</v>
      </c>
      <c r="B296">
        <v>28128.35</v>
      </c>
      <c r="G296" t="str">
        <f>VLOOKUP(A296,שכר!B$2:$E611,3,FALSE)</f>
        <v xml:space="preserve">מרגיה </v>
      </c>
    </row>
    <row r="297" spans="1:7" x14ac:dyDescent="0.2">
      <c r="A297" s="1069">
        <v>30092629</v>
      </c>
      <c r="B297">
        <v>2004.85</v>
      </c>
      <c r="G297" t="str">
        <f>VLOOKUP(A297,שכר!B$2:$E612,3,FALSE)</f>
        <v xml:space="preserve">דבור </v>
      </c>
    </row>
    <row r="298" spans="1:7" x14ac:dyDescent="0.2">
      <c r="A298" s="1069">
        <v>30095375</v>
      </c>
      <c r="B298">
        <v>87038.56</v>
      </c>
      <c r="G298" t="str">
        <f>VLOOKUP(A298,שכר!B$2:$E613,3,FALSE)</f>
        <v xml:space="preserve">חג מנדיה </v>
      </c>
    </row>
    <row r="299" spans="1:7" x14ac:dyDescent="0.2">
      <c r="A299" s="1069">
        <v>30128061</v>
      </c>
      <c r="B299">
        <v>9554.33</v>
      </c>
      <c r="G299" t="str">
        <f>VLOOKUP(A299,שכר!B$2:$E614,3,FALSE)</f>
        <v xml:space="preserve">חמדאן </v>
      </c>
    </row>
    <row r="300" spans="1:7" x14ac:dyDescent="0.2">
      <c r="A300" s="1069">
        <v>30128112</v>
      </c>
      <c r="B300">
        <v>2337.0700000000002</v>
      </c>
      <c r="G300" t="str">
        <f>VLOOKUP(A300,שכר!B$2:$E615,3,FALSE)</f>
        <v xml:space="preserve">מנסור </v>
      </c>
    </row>
    <row r="301" spans="1:7" hidden="1" x14ac:dyDescent="0.2">
      <c r="A301" s="1066">
        <v>30137813</v>
      </c>
      <c r="B301">
        <v>49696.82</v>
      </c>
      <c r="G301" t="str">
        <f>VLOOKUP(A301,שכר!B$2:$E616,3,FALSE)</f>
        <v xml:space="preserve">אבופארס </v>
      </c>
    </row>
    <row r="302" spans="1:7" x14ac:dyDescent="0.2">
      <c r="A302" s="1069">
        <v>30154519</v>
      </c>
      <c r="B302">
        <v>38173.800000000003</v>
      </c>
      <c r="G302" t="str">
        <f>VLOOKUP(A302,שכר!B$2:$E617,3,FALSE)</f>
        <v xml:space="preserve">שיבאני </v>
      </c>
    </row>
    <row r="303" spans="1:7" x14ac:dyDescent="0.2">
      <c r="A303" s="1069">
        <v>30169103</v>
      </c>
      <c r="B303">
        <v>53097.71</v>
      </c>
      <c r="G303" t="str">
        <f>VLOOKUP(A303,שכר!B$2:$E618,3,FALSE)</f>
        <v xml:space="preserve">מנסור </v>
      </c>
    </row>
    <row r="304" spans="1:7" hidden="1" x14ac:dyDescent="0.2">
      <c r="A304" s="1066">
        <v>30169548</v>
      </c>
      <c r="B304">
        <v>25339.16</v>
      </c>
      <c r="G304" t="str">
        <f>VLOOKUP(A304,שכר!B$2:$E619,3,FALSE)</f>
        <v xml:space="preserve">זאהר </v>
      </c>
    </row>
    <row r="305" spans="1:7" x14ac:dyDescent="0.2">
      <c r="A305" s="1069">
        <v>30172182</v>
      </c>
      <c r="B305">
        <v>1997.1</v>
      </c>
      <c r="G305" t="str">
        <f>VLOOKUP(A305,שכר!B$2:$E620,3,FALSE)</f>
        <v xml:space="preserve">פרו </v>
      </c>
    </row>
    <row r="306" spans="1:7" x14ac:dyDescent="0.2">
      <c r="A306" s="1069">
        <v>30172477</v>
      </c>
      <c r="B306">
        <v>7610.67</v>
      </c>
      <c r="G306" t="str">
        <f>VLOOKUP(A306,שכר!B$2:$E621,3,FALSE)</f>
        <v xml:space="preserve">פרו </v>
      </c>
    </row>
    <row r="307" spans="1:7" hidden="1" x14ac:dyDescent="0.2">
      <c r="A307" s="1066">
        <v>30265944</v>
      </c>
      <c r="B307">
        <v>33311.81</v>
      </c>
      <c r="G307" t="str">
        <f>VLOOKUP(A307,שכר!B$2:$E622,3,FALSE)</f>
        <v xml:space="preserve">סעב </v>
      </c>
    </row>
    <row r="308" spans="1:7" x14ac:dyDescent="0.2">
      <c r="A308" s="1069">
        <v>30266159</v>
      </c>
      <c r="B308">
        <v>35389.199999999997</v>
      </c>
      <c r="G308" t="str">
        <f>VLOOKUP(A308,שכר!B$2:$E623,3,FALSE)</f>
        <v>חמדאן-להיא</v>
      </c>
    </row>
    <row r="309" spans="1:7" hidden="1" x14ac:dyDescent="0.2">
      <c r="A309" s="1066">
        <v>30279365</v>
      </c>
      <c r="B309">
        <v>42683.57</v>
      </c>
      <c r="G309" t="str">
        <f>VLOOKUP(A309,שכר!B$2:$E624,3,FALSE)</f>
        <v xml:space="preserve">ספיה </v>
      </c>
    </row>
    <row r="310" spans="1:7" x14ac:dyDescent="0.2">
      <c r="A310" s="1069">
        <v>30282635</v>
      </c>
      <c r="B310">
        <v>44633</v>
      </c>
      <c r="G310" t="str">
        <f>VLOOKUP(A310,שכר!B$2:$E625,3,FALSE)</f>
        <v xml:space="preserve">סאלח </v>
      </c>
    </row>
    <row r="311" spans="1:7" hidden="1" x14ac:dyDescent="0.2">
      <c r="A311" s="1066">
        <v>30287672</v>
      </c>
      <c r="B311">
        <v>30602.239999999998</v>
      </c>
      <c r="G311" t="str">
        <f>VLOOKUP(A311,שכר!B$2:$E626,3,FALSE)</f>
        <v xml:space="preserve">עזמי </v>
      </c>
    </row>
    <row r="312" spans="1:7" hidden="1" x14ac:dyDescent="0.2">
      <c r="A312" s="1066">
        <v>30292548</v>
      </c>
      <c r="B312">
        <v>52120.07</v>
      </c>
      <c r="G312" t="str">
        <f>VLOOKUP(A312,שכר!B$2:$E627,3,FALSE)</f>
        <v xml:space="preserve">רוחאנה </v>
      </c>
    </row>
    <row r="313" spans="1:7" hidden="1" x14ac:dyDescent="0.2">
      <c r="A313" s="1066">
        <v>30305092</v>
      </c>
      <c r="B313">
        <v>35359.339999999997</v>
      </c>
      <c r="G313" t="str">
        <f>VLOOKUP(A313,שכר!B$2:$E628,3,FALSE)</f>
        <v xml:space="preserve">אבורוקן </v>
      </c>
    </row>
    <row r="314" spans="1:7" x14ac:dyDescent="0.2">
      <c r="A314" s="1069">
        <v>30305481</v>
      </c>
      <c r="B314">
        <v>37564.910000000003</v>
      </c>
      <c r="G314" t="str">
        <f>VLOOKUP(A314,שכר!B$2:$E629,3,FALSE)</f>
        <v xml:space="preserve">אבוזלף </v>
      </c>
    </row>
    <row r="315" spans="1:7" hidden="1" x14ac:dyDescent="0.2">
      <c r="A315" s="1066">
        <v>30305535</v>
      </c>
      <c r="B315">
        <v>24992.440000000002</v>
      </c>
      <c r="G315" t="str">
        <f>VLOOKUP(A315,שכר!B$2:$E630,3,FALSE)</f>
        <v xml:space="preserve">רכאב </v>
      </c>
    </row>
    <row r="316" spans="1:7" hidden="1" x14ac:dyDescent="0.2">
      <c r="A316" s="1066">
        <v>30492671</v>
      </c>
      <c r="B316">
        <v>46105.760000000002</v>
      </c>
      <c r="G316" t="str">
        <f>VLOOKUP(A316,שכר!B$2:$E631,3,FALSE)</f>
        <v xml:space="preserve">עבדללה </v>
      </c>
    </row>
    <row r="317" spans="1:7" hidden="1" x14ac:dyDescent="0.2">
      <c r="A317" s="1066">
        <v>30529461</v>
      </c>
      <c r="B317">
        <v>32276.68</v>
      </c>
      <c r="G317" t="str">
        <f>VLOOKUP(A317,שכר!B$2:$E632,3,FALSE)</f>
        <v xml:space="preserve">מנסור </v>
      </c>
    </row>
    <row r="318" spans="1:7" x14ac:dyDescent="0.2">
      <c r="A318" s="1069">
        <v>30802134</v>
      </c>
      <c r="B318">
        <v>8856.35</v>
      </c>
      <c r="G318" t="str">
        <f>VLOOKUP(A318,שכר!B$2:$E633,3,FALSE)</f>
        <v xml:space="preserve">חמדאן </v>
      </c>
    </row>
    <row r="319" spans="1:7" x14ac:dyDescent="0.2">
      <c r="A319" s="1069">
        <v>30828943</v>
      </c>
      <c r="B319">
        <v>5277.56</v>
      </c>
      <c r="G319" t="str">
        <f>VLOOKUP(A319,שכר!B$2:$E634,3,FALSE)</f>
        <v xml:space="preserve">עראף </v>
      </c>
    </row>
    <row r="320" spans="1:7" hidden="1" x14ac:dyDescent="0.2">
      <c r="A320" s="1066">
        <v>30854360</v>
      </c>
      <c r="B320">
        <v>54972.84</v>
      </c>
      <c r="G320" t="str">
        <f>VLOOKUP(A320,שכר!B$2:$E635,3,FALSE)</f>
        <v xml:space="preserve">אבויונס </v>
      </c>
    </row>
    <row r="321" spans="1:7" x14ac:dyDescent="0.2">
      <c r="A321" s="1069">
        <v>30993796</v>
      </c>
      <c r="B321">
        <v>2314.84</v>
      </c>
      <c r="G321" t="str">
        <f>VLOOKUP(A321,שכר!B$2:$E636,3,FALSE)</f>
        <v>בדוי)מנסור</v>
      </c>
    </row>
    <row r="322" spans="1:7" x14ac:dyDescent="0.2">
      <c r="A322" s="1069">
        <v>31257635</v>
      </c>
      <c r="B322">
        <v>31400.33</v>
      </c>
      <c r="G322" t="str">
        <f>VLOOKUP(A322,שכר!B$2:$E637,3,FALSE)</f>
        <v xml:space="preserve">חלבי </v>
      </c>
    </row>
    <row r="323" spans="1:7" x14ac:dyDescent="0.2">
      <c r="A323" s="1069">
        <v>31501922</v>
      </c>
      <c r="B323">
        <v>20556.98</v>
      </c>
      <c r="G323" t="str">
        <f>VLOOKUP(A323,שכר!B$2:$E638,3,FALSE)</f>
        <v xml:space="preserve">חמדאן </v>
      </c>
    </row>
    <row r="324" spans="1:7" hidden="1" x14ac:dyDescent="0.2">
      <c r="A324" s="1066">
        <v>31795457</v>
      </c>
      <c r="B324">
        <v>29485.57</v>
      </c>
      <c r="G324" t="str">
        <f>VLOOKUP(A324,שכר!B$2:$E639,3,FALSE)</f>
        <v xml:space="preserve">אבוסעד </v>
      </c>
    </row>
    <row r="325" spans="1:7" hidden="1" x14ac:dyDescent="0.2">
      <c r="A325" s="1066">
        <v>31795462</v>
      </c>
      <c r="B325">
        <v>48834.740000000005</v>
      </c>
      <c r="G325" t="str">
        <f>VLOOKUP(A325,שכר!B$2:$E640,3,FALSE)</f>
        <v xml:space="preserve">והב </v>
      </c>
    </row>
    <row r="326" spans="1:7" hidden="1" x14ac:dyDescent="0.2">
      <c r="A326" s="1066">
        <v>32163602</v>
      </c>
      <c r="B326">
        <v>35261.01</v>
      </c>
      <c r="G326" t="str">
        <f>VLOOKUP(A326,שכר!B$2:$E641,3,FALSE)</f>
        <v xml:space="preserve">הלון </v>
      </c>
    </row>
    <row r="327" spans="1:7" hidden="1" x14ac:dyDescent="0.2">
      <c r="A327" s="1066">
        <v>32169137</v>
      </c>
      <c r="B327">
        <v>3159.75</v>
      </c>
      <c r="G327" t="str">
        <f>VLOOKUP(A327,שכר!B$2:$E642,3,FALSE)</f>
        <v xml:space="preserve">והב </v>
      </c>
    </row>
    <row r="328" spans="1:7" hidden="1" x14ac:dyDescent="0.2">
      <c r="A328" s="1066">
        <v>32371500</v>
      </c>
      <c r="B328">
        <v>3060.96</v>
      </c>
      <c r="G328" t="str">
        <f>VLOOKUP(A328,שכר!B$2:$E643,3,FALSE)</f>
        <v xml:space="preserve">מלאק </v>
      </c>
    </row>
    <row r="329" spans="1:7" hidden="1" x14ac:dyDescent="0.2">
      <c r="A329" s="1066">
        <v>304758634</v>
      </c>
      <c r="B329">
        <v>59772.22</v>
      </c>
      <c r="G329" t="str">
        <f>VLOOKUP(A329,שכר!B$2:$E644,3,FALSE)</f>
        <v xml:space="preserve">חסון </v>
      </c>
    </row>
    <row r="330" spans="1:7" hidden="1" x14ac:dyDescent="0.2">
      <c r="B330" s="1062">
        <v>17864814.629999988</v>
      </c>
    </row>
  </sheetData>
  <autoFilter ref="A2:G330">
    <filterColumn colId="0">
      <colorFilter dxfId="12"/>
    </filterColumn>
  </autoFilter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rightToLeft="1" topLeftCell="A241" workbookViewId="0">
      <selection activeCell="B253" sqref="B253"/>
    </sheetView>
  </sheetViews>
  <sheetFormatPr defaultRowHeight="12.75" x14ac:dyDescent="0.2"/>
  <cols>
    <col min="4" max="4" width="10" bestFit="1" customWidth="1"/>
  </cols>
  <sheetData>
    <row r="1" spans="1:11" ht="31.5" x14ac:dyDescent="0.2">
      <c r="A1" s="984" t="s">
        <v>1324</v>
      </c>
      <c r="B1" s="984" t="s">
        <v>916</v>
      </c>
      <c r="C1" s="984" t="s">
        <v>917</v>
      </c>
      <c r="D1" s="984" t="s">
        <v>918</v>
      </c>
      <c r="E1" s="984" t="s">
        <v>919</v>
      </c>
      <c r="F1" s="984" t="s">
        <v>920</v>
      </c>
      <c r="G1" s="984" t="s">
        <v>921</v>
      </c>
      <c r="H1" s="984" t="s">
        <v>922</v>
      </c>
      <c r="I1" s="985" t="s">
        <v>111</v>
      </c>
      <c r="J1" s="985" t="s">
        <v>1325</v>
      </c>
      <c r="K1" s="985" t="s">
        <v>112</v>
      </c>
    </row>
    <row r="2" spans="1:11" ht="30" x14ac:dyDescent="0.2">
      <c r="A2" s="978">
        <v>1</v>
      </c>
      <c r="B2" s="979" t="s">
        <v>924</v>
      </c>
      <c r="C2" s="979" t="s">
        <v>925</v>
      </c>
      <c r="D2" s="1073">
        <v>5223585</v>
      </c>
      <c r="E2" s="980">
        <v>611100</v>
      </c>
      <c r="F2" s="979" t="s">
        <v>926</v>
      </c>
      <c r="G2" s="979" t="s">
        <v>927</v>
      </c>
      <c r="H2" s="981">
        <v>1</v>
      </c>
      <c r="I2" s="982">
        <v>758448</v>
      </c>
      <c r="J2" s="981">
        <v>1</v>
      </c>
      <c r="K2" s="982">
        <v>770000</v>
      </c>
    </row>
    <row r="3" spans="1:11" ht="15" x14ac:dyDescent="0.2">
      <c r="A3" s="1021" t="s">
        <v>1326</v>
      </c>
      <c r="B3" s="1022"/>
      <c r="C3" s="1023"/>
      <c r="D3" s="1070"/>
      <c r="E3" s="1024"/>
      <c r="F3" s="1024"/>
      <c r="G3" s="1023"/>
      <c r="H3" s="1025">
        <f>SUM(H2)</f>
        <v>1</v>
      </c>
      <c r="I3" s="1025">
        <f>SUM(I2:I2)</f>
        <v>758448</v>
      </c>
      <c r="J3" s="1025">
        <f>SUM(J2)</f>
        <v>1</v>
      </c>
      <c r="K3" s="1025">
        <f t="shared" ref="K3" si="0">SUM(K2:K2)</f>
        <v>770000</v>
      </c>
    </row>
    <row r="4" spans="1:11" ht="45" x14ac:dyDescent="0.2">
      <c r="A4" s="978">
        <v>1</v>
      </c>
      <c r="B4" s="979" t="s">
        <v>928</v>
      </c>
      <c r="C4" s="979" t="s">
        <v>929</v>
      </c>
      <c r="D4" s="1071">
        <v>2332857</v>
      </c>
      <c r="E4" s="980">
        <v>611200</v>
      </c>
      <c r="F4" s="979" t="s">
        <v>930</v>
      </c>
      <c r="G4" s="979" t="s">
        <v>931</v>
      </c>
      <c r="H4" s="981">
        <v>1</v>
      </c>
      <c r="I4" s="982">
        <v>142803</v>
      </c>
      <c r="J4" s="981">
        <v>1</v>
      </c>
      <c r="K4" s="982">
        <v>147000</v>
      </c>
    </row>
    <row r="5" spans="1:11" ht="15" x14ac:dyDescent="0.2">
      <c r="A5" s="1021" t="s">
        <v>1327</v>
      </c>
      <c r="B5" s="1022"/>
      <c r="C5" s="1023"/>
      <c r="D5" s="1070"/>
      <c r="E5" s="1024"/>
      <c r="F5" s="1024"/>
      <c r="G5" s="1023"/>
      <c r="H5" s="1025"/>
      <c r="I5" s="1025">
        <f>SUM(I4)</f>
        <v>142803</v>
      </c>
      <c r="J5" s="1025">
        <f t="shared" ref="J5:K5" si="1">SUM(J4)</f>
        <v>1</v>
      </c>
      <c r="K5" s="1025">
        <f t="shared" si="1"/>
        <v>147000</v>
      </c>
    </row>
    <row r="6" spans="1:11" ht="30" x14ac:dyDescent="0.2">
      <c r="A6" s="978">
        <v>1</v>
      </c>
      <c r="B6" s="979" t="s">
        <v>932</v>
      </c>
      <c r="C6" s="979" t="s">
        <v>933</v>
      </c>
      <c r="D6" s="1071">
        <v>2478159</v>
      </c>
      <c r="E6" s="980">
        <v>612000</v>
      </c>
      <c r="F6" s="979" t="s">
        <v>934</v>
      </c>
      <c r="G6" s="979" t="s">
        <v>935</v>
      </c>
      <c r="H6" s="981">
        <v>0.5</v>
      </c>
      <c r="I6" s="988">
        <v>193316</v>
      </c>
      <c r="J6" s="981">
        <v>1</v>
      </c>
      <c r="K6" s="988">
        <f>400000/12*5+210000/12*7</f>
        <v>289166.66666666669</v>
      </c>
    </row>
    <row r="7" spans="1:11" ht="15" x14ac:dyDescent="0.2">
      <c r="A7" s="1021" t="s">
        <v>1328</v>
      </c>
      <c r="B7" s="1022"/>
      <c r="C7" s="1023"/>
      <c r="D7" s="1070"/>
      <c r="E7" s="1024"/>
      <c r="F7" s="1024"/>
      <c r="G7" s="1023"/>
      <c r="H7" s="1025"/>
      <c r="I7" s="1025">
        <f>SUM(I6)</f>
        <v>193316</v>
      </c>
      <c r="J7" s="1025">
        <f t="shared" ref="J7:K7" si="2">SUM(J6)</f>
        <v>1</v>
      </c>
      <c r="K7" s="1025">
        <f t="shared" si="2"/>
        <v>289166.66666666669</v>
      </c>
    </row>
    <row r="8" spans="1:11" ht="45" x14ac:dyDescent="0.2">
      <c r="A8" s="978">
        <v>1</v>
      </c>
      <c r="B8" s="979" t="s">
        <v>1329</v>
      </c>
      <c r="C8" s="979" t="s">
        <v>956</v>
      </c>
      <c r="D8" s="1071">
        <v>5994911</v>
      </c>
      <c r="E8" s="980">
        <v>613000</v>
      </c>
      <c r="F8" s="979" t="s">
        <v>1330</v>
      </c>
      <c r="G8" s="979" t="s">
        <v>1813</v>
      </c>
      <c r="H8" s="981">
        <v>1</v>
      </c>
      <c r="I8" s="988">
        <v>367169</v>
      </c>
      <c r="J8" s="981">
        <v>1</v>
      </c>
      <c r="K8" s="988">
        <f>370000/12*8+40000*4</f>
        <v>406666.66666666663</v>
      </c>
    </row>
    <row r="9" spans="1:11" ht="30" x14ac:dyDescent="0.2">
      <c r="A9" s="978">
        <v>1</v>
      </c>
      <c r="B9" s="979" t="s">
        <v>1331</v>
      </c>
      <c r="C9" s="979" t="s">
        <v>1332</v>
      </c>
      <c r="D9" s="1071">
        <v>2910356</v>
      </c>
      <c r="E9" s="980">
        <v>613000</v>
      </c>
      <c r="F9" s="979" t="s">
        <v>1333</v>
      </c>
      <c r="G9" s="979" t="s">
        <v>931</v>
      </c>
      <c r="H9" s="981">
        <v>1</v>
      </c>
      <c r="I9" s="988">
        <v>92019</v>
      </c>
      <c r="J9" s="981">
        <v>1</v>
      </c>
      <c r="K9" s="988">
        <v>93000</v>
      </c>
    </row>
    <row r="10" spans="1:11" ht="15" x14ac:dyDescent="0.2">
      <c r="A10" s="1021" t="s">
        <v>1334</v>
      </c>
      <c r="B10" s="1022"/>
      <c r="C10" s="1023"/>
      <c r="D10" s="1070"/>
      <c r="E10" s="1024"/>
      <c r="F10" s="1024"/>
      <c r="G10" s="1023"/>
      <c r="H10" s="1025"/>
      <c r="I10" s="1025">
        <f>SUM(I8:I9)</f>
        <v>459188</v>
      </c>
      <c r="J10" s="1025">
        <f t="shared" ref="J10:K10" si="3">SUM(J8:J9)</f>
        <v>2</v>
      </c>
      <c r="K10" s="1025">
        <f t="shared" si="3"/>
        <v>499666.66666666663</v>
      </c>
    </row>
    <row r="11" spans="1:11" ht="30" x14ac:dyDescent="0.2">
      <c r="A11" s="978">
        <v>1</v>
      </c>
      <c r="B11" s="979" t="s">
        <v>1052</v>
      </c>
      <c r="C11" s="979" t="s">
        <v>1335</v>
      </c>
      <c r="D11" s="1071">
        <v>2751043</v>
      </c>
      <c r="E11" s="980">
        <v>615000</v>
      </c>
      <c r="F11" s="979" t="s">
        <v>941</v>
      </c>
      <c r="G11" s="979" t="s">
        <v>1336</v>
      </c>
      <c r="H11" s="981">
        <v>0.7</v>
      </c>
      <c r="I11" s="982">
        <v>74577</v>
      </c>
      <c r="J11" s="981">
        <v>0.7</v>
      </c>
      <c r="K11" s="982">
        <v>75000</v>
      </c>
    </row>
    <row r="12" spans="1:11" ht="30" x14ac:dyDescent="0.2">
      <c r="A12" s="978">
        <v>1</v>
      </c>
      <c r="B12" s="979" t="s">
        <v>1018</v>
      </c>
      <c r="C12" s="979" t="s">
        <v>1048</v>
      </c>
      <c r="D12" s="1071">
        <v>2815172</v>
      </c>
      <c r="E12" s="980">
        <v>615000</v>
      </c>
      <c r="F12" s="979" t="s">
        <v>941</v>
      </c>
      <c r="G12" s="979" t="s">
        <v>1336</v>
      </c>
      <c r="H12" s="981">
        <v>0.5</v>
      </c>
      <c r="I12" s="982">
        <v>43097</v>
      </c>
      <c r="J12" s="981">
        <v>0.5</v>
      </c>
      <c r="K12" s="982">
        <v>44000</v>
      </c>
    </row>
    <row r="13" spans="1:11" ht="30" x14ac:dyDescent="0.2">
      <c r="A13" s="978">
        <v>1</v>
      </c>
      <c r="B13" s="979" t="s">
        <v>1821</v>
      </c>
      <c r="C13" s="979" t="s">
        <v>959</v>
      </c>
      <c r="D13" s="1072">
        <v>99999999</v>
      </c>
      <c r="E13" s="980">
        <v>615000</v>
      </c>
      <c r="F13" s="979" t="s">
        <v>960</v>
      </c>
      <c r="G13" s="979" t="s">
        <v>961</v>
      </c>
      <c r="H13" s="981">
        <v>0.75</v>
      </c>
      <c r="I13" s="982">
        <v>23683</v>
      </c>
      <c r="J13" s="981">
        <v>0</v>
      </c>
      <c r="K13" s="982">
        <v>0</v>
      </c>
    </row>
    <row r="14" spans="1:11" ht="30" x14ac:dyDescent="0.2">
      <c r="A14" s="978">
        <v>1</v>
      </c>
      <c r="B14" s="979" t="s">
        <v>928</v>
      </c>
      <c r="C14" s="979" t="s">
        <v>929</v>
      </c>
      <c r="D14" s="1071">
        <v>5581635</v>
      </c>
      <c r="E14" s="980">
        <v>615000</v>
      </c>
      <c r="F14" s="979" t="s">
        <v>941</v>
      </c>
      <c r="G14" s="979" t="s">
        <v>954</v>
      </c>
      <c r="H14" s="981">
        <v>0.6</v>
      </c>
      <c r="I14" s="982">
        <v>62625</v>
      </c>
      <c r="J14" s="981">
        <v>0.6</v>
      </c>
      <c r="K14" s="982">
        <v>63000</v>
      </c>
    </row>
    <row r="15" spans="1:11" ht="30" x14ac:dyDescent="0.2">
      <c r="A15" s="978">
        <v>1</v>
      </c>
      <c r="B15" s="979" t="s">
        <v>948</v>
      </c>
      <c r="C15" s="979" t="s">
        <v>949</v>
      </c>
      <c r="D15" s="1071">
        <v>5944912</v>
      </c>
      <c r="E15" s="980">
        <v>615000</v>
      </c>
      <c r="F15" s="979" t="s">
        <v>941</v>
      </c>
      <c r="G15" s="979" t="s">
        <v>950</v>
      </c>
      <c r="H15" s="981">
        <v>1</v>
      </c>
      <c r="I15" s="982">
        <v>153848</v>
      </c>
      <c r="J15" s="981">
        <v>1</v>
      </c>
      <c r="K15" s="982">
        <v>165000</v>
      </c>
    </row>
    <row r="16" spans="1:11" ht="30" x14ac:dyDescent="0.2">
      <c r="A16" s="978">
        <v>1</v>
      </c>
      <c r="B16" s="979" t="s">
        <v>943</v>
      </c>
      <c r="C16" s="979" t="s">
        <v>944</v>
      </c>
      <c r="D16" s="1071">
        <v>5947278</v>
      </c>
      <c r="E16" s="980">
        <v>615000</v>
      </c>
      <c r="F16" s="979" t="s">
        <v>941</v>
      </c>
      <c r="G16" s="979" t="s">
        <v>945</v>
      </c>
      <c r="H16" s="981">
        <v>0.6</v>
      </c>
      <c r="I16" s="982">
        <v>75084</v>
      </c>
      <c r="J16" s="981">
        <v>0.6</v>
      </c>
      <c r="K16" s="982">
        <v>75000</v>
      </c>
    </row>
    <row r="17" spans="1:11" ht="30" x14ac:dyDescent="0.2">
      <c r="A17" s="978">
        <v>1</v>
      </c>
      <c r="B17" s="979" t="s">
        <v>1337</v>
      </c>
      <c r="C17" s="979" t="s">
        <v>965</v>
      </c>
      <c r="D17" s="1071">
        <v>5445944</v>
      </c>
      <c r="E17" s="980">
        <v>615000</v>
      </c>
      <c r="F17" s="979" t="s">
        <v>941</v>
      </c>
      <c r="G17" s="979" t="s">
        <v>1338</v>
      </c>
      <c r="H17" s="981">
        <v>0.6</v>
      </c>
      <c r="I17" s="982">
        <v>58056</v>
      </c>
      <c r="J17" s="981">
        <v>0.6</v>
      </c>
      <c r="K17" s="982">
        <v>62000</v>
      </c>
    </row>
    <row r="18" spans="1:11" ht="30" x14ac:dyDescent="0.2">
      <c r="A18" s="978">
        <v>1</v>
      </c>
      <c r="B18" s="979" t="s">
        <v>1339</v>
      </c>
      <c r="C18" s="979" t="s">
        <v>1340</v>
      </c>
      <c r="D18" s="980">
        <v>8094430</v>
      </c>
      <c r="E18" s="980">
        <v>615000</v>
      </c>
      <c r="F18" s="979" t="s">
        <v>941</v>
      </c>
      <c r="G18" s="979" t="s">
        <v>981</v>
      </c>
      <c r="H18" s="981">
        <v>0.6</v>
      </c>
      <c r="I18" s="982">
        <v>53142</v>
      </c>
      <c r="J18" s="981">
        <v>0.6</v>
      </c>
      <c r="K18" s="982">
        <v>55000</v>
      </c>
    </row>
    <row r="19" spans="1:11" ht="15" x14ac:dyDescent="0.2">
      <c r="A19" s="1021" t="s">
        <v>1341</v>
      </c>
      <c r="B19" s="1023"/>
      <c r="C19" s="1023"/>
      <c r="D19" s="1024"/>
      <c r="E19" s="1024"/>
      <c r="F19" s="1023"/>
      <c r="G19" s="1023"/>
      <c r="H19" s="1026"/>
      <c r="I19" s="1025">
        <f>SUM(I11:I18)</f>
        <v>544112</v>
      </c>
      <c r="J19" s="1025">
        <f t="shared" ref="J19:K19" si="4">SUM(J11:J18)</f>
        <v>4.5999999999999996</v>
      </c>
      <c r="K19" s="1025">
        <f t="shared" si="4"/>
        <v>539000</v>
      </c>
    </row>
    <row r="20" spans="1:11" ht="30" x14ac:dyDescent="0.2">
      <c r="A20" s="978">
        <v>1</v>
      </c>
      <c r="B20" s="979" t="s">
        <v>990</v>
      </c>
      <c r="C20" s="979" t="s">
        <v>1079</v>
      </c>
      <c r="D20" s="980">
        <v>5250834</v>
      </c>
      <c r="E20" s="980">
        <v>615100</v>
      </c>
      <c r="F20" s="979" t="s">
        <v>941</v>
      </c>
      <c r="G20" s="979" t="s">
        <v>981</v>
      </c>
      <c r="H20" s="981">
        <v>0.6</v>
      </c>
      <c r="I20" s="982">
        <v>61113</v>
      </c>
      <c r="J20" s="981">
        <v>0.6</v>
      </c>
      <c r="K20" s="982">
        <v>62000</v>
      </c>
    </row>
    <row r="21" spans="1:11" ht="30" x14ac:dyDescent="0.2">
      <c r="A21" s="978">
        <v>1</v>
      </c>
      <c r="B21" s="979" t="s">
        <v>967</v>
      </c>
      <c r="C21" s="979" t="s">
        <v>968</v>
      </c>
      <c r="D21" s="806">
        <v>5574954</v>
      </c>
      <c r="E21" s="980">
        <v>615100</v>
      </c>
      <c r="F21" s="979" t="s">
        <v>941</v>
      </c>
      <c r="G21" s="979" t="s">
        <v>981</v>
      </c>
      <c r="H21" s="981">
        <v>0.6</v>
      </c>
      <c r="I21" s="982">
        <v>90123</v>
      </c>
      <c r="J21" s="981">
        <v>0.6</v>
      </c>
      <c r="K21" s="982">
        <v>91000</v>
      </c>
    </row>
    <row r="22" spans="1:11" ht="15" x14ac:dyDescent="0.2">
      <c r="A22" s="1021" t="s">
        <v>1342</v>
      </c>
      <c r="B22" s="1021"/>
      <c r="C22" s="1027"/>
      <c r="D22" s="1027"/>
      <c r="E22" s="1028"/>
      <c r="F22" s="1028"/>
      <c r="G22" s="1027"/>
      <c r="H22" s="1027">
        <f>SUM(H4:H21)</f>
        <v>10.049999999999999</v>
      </c>
      <c r="I22" s="1025">
        <f>SUM(I20:I21)</f>
        <v>151236</v>
      </c>
      <c r="J22" s="1025">
        <f t="shared" ref="J22:K22" si="5">SUM(J20:J21)</f>
        <v>1.2</v>
      </c>
      <c r="K22" s="1025">
        <f t="shared" si="5"/>
        <v>153000</v>
      </c>
    </row>
    <row r="23" spans="1:11" ht="45" x14ac:dyDescent="0.2">
      <c r="A23" s="978">
        <v>1</v>
      </c>
      <c r="B23" s="979" t="s">
        <v>970</v>
      </c>
      <c r="C23" s="979" t="s">
        <v>971</v>
      </c>
      <c r="D23" s="980">
        <v>3408301</v>
      </c>
      <c r="E23" s="980">
        <v>621000</v>
      </c>
      <c r="F23" s="979" t="s">
        <v>972</v>
      </c>
      <c r="G23" s="979" t="s">
        <v>1814</v>
      </c>
      <c r="H23" s="981">
        <v>0.75</v>
      </c>
      <c r="I23" s="982">
        <f>318432</f>
        <v>318432</v>
      </c>
      <c r="J23" s="981">
        <v>1</v>
      </c>
      <c r="K23" s="982">
        <f>160000/6*7+34000*5</f>
        <v>356666.66666666669</v>
      </c>
    </row>
    <row r="24" spans="1:11" ht="30" x14ac:dyDescent="0.2">
      <c r="A24" s="978">
        <v>1</v>
      </c>
      <c r="B24" s="979"/>
      <c r="C24" s="979"/>
      <c r="D24" s="980"/>
      <c r="E24" s="980"/>
      <c r="F24" s="979" t="s">
        <v>972</v>
      </c>
      <c r="G24" s="979" t="s">
        <v>2048</v>
      </c>
      <c r="H24" s="981"/>
      <c r="I24" s="982"/>
      <c r="J24" s="981">
        <v>0.5</v>
      </c>
      <c r="K24" s="982">
        <v>50000</v>
      </c>
    </row>
    <row r="25" spans="1:11" ht="15" x14ac:dyDescent="0.2">
      <c r="A25" s="1021" t="s">
        <v>1343</v>
      </c>
      <c r="B25" s="1023"/>
      <c r="C25" s="1023"/>
      <c r="D25" s="1024"/>
      <c r="E25" s="1024"/>
      <c r="F25" s="1023"/>
      <c r="G25" s="1023"/>
      <c r="H25" s="1026"/>
      <c r="I25" s="1025">
        <f>SUM(I23:I23)</f>
        <v>318432</v>
      </c>
      <c r="J25" s="1025">
        <f>SUM(J23:J24)</f>
        <v>1.5</v>
      </c>
      <c r="K25" s="1025">
        <f>SUM(K23:K24)</f>
        <v>406666.66666666669</v>
      </c>
    </row>
    <row r="26" spans="1:11" ht="15" x14ac:dyDescent="0.2">
      <c r="A26" s="978">
        <v>1</v>
      </c>
      <c r="B26" s="979" t="s">
        <v>977</v>
      </c>
      <c r="C26" s="979" t="s">
        <v>978</v>
      </c>
      <c r="D26" s="980">
        <v>5517362</v>
      </c>
      <c r="E26" s="980">
        <v>621500</v>
      </c>
      <c r="F26" s="979" t="s">
        <v>386</v>
      </c>
      <c r="G26" s="979" t="s">
        <v>1344</v>
      </c>
      <c r="H26" s="981">
        <v>1</v>
      </c>
      <c r="I26" s="982">
        <v>177357</v>
      </c>
      <c r="J26" s="981">
        <v>1</v>
      </c>
      <c r="K26" s="982">
        <v>178000</v>
      </c>
    </row>
    <row r="27" spans="1:11" ht="15" x14ac:dyDescent="0.2">
      <c r="A27" s="1021" t="s">
        <v>1345</v>
      </c>
      <c r="B27" s="1023"/>
      <c r="C27" s="1023"/>
      <c r="D27" s="1024"/>
      <c r="E27" s="1024"/>
      <c r="F27" s="1023"/>
      <c r="G27" s="1023"/>
      <c r="H27" s="1026"/>
      <c r="I27" s="1025">
        <f>SUM(I26)</f>
        <v>177357</v>
      </c>
      <c r="J27" s="1025">
        <f t="shared" ref="J27:K27" si="6">SUM(J26)</f>
        <v>1</v>
      </c>
      <c r="K27" s="1025">
        <f t="shared" si="6"/>
        <v>178000</v>
      </c>
    </row>
    <row r="28" spans="1:11" ht="60" x14ac:dyDescent="0.2">
      <c r="A28" s="978">
        <v>1</v>
      </c>
      <c r="B28" s="979" t="s">
        <v>1346</v>
      </c>
      <c r="C28" s="979" t="s">
        <v>980</v>
      </c>
      <c r="D28" s="980">
        <v>5125326</v>
      </c>
      <c r="E28" s="980">
        <v>623000</v>
      </c>
      <c r="F28" s="979" t="s">
        <v>1815</v>
      </c>
      <c r="G28" s="979" t="s">
        <v>980</v>
      </c>
      <c r="H28" s="981">
        <v>0</v>
      </c>
      <c r="I28" s="982">
        <v>0</v>
      </c>
      <c r="J28" s="981">
        <v>1</v>
      </c>
      <c r="K28" s="982">
        <f>90000/12*4</f>
        <v>30000</v>
      </c>
    </row>
    <row r="29" spans="1:11" ht="30" x14ac:dyDescent="0.2">
      <c r="A29" s="978">
        <v>1</v>
      </c>
      <c r="B29" s="979" t="s">
        <v>983</v>
      </c>
      <c r="C29" s="979" t="s">
        <v>984</v>
      </c>
      <c r="D29" s="980">
        <v>2332248</v>
      </c>
      <c r="E29" s="980">
        <v>623000</v>
      </c>
      <c r="F29" s="979" t="s">
        <v>980</v>
      </c>
      <c r="G29" s="979" t="s">
        <v>1347</v>
      </c>
      <c r="H29" s="981">
        <v>1</v>
      </c>
      <c r="I29" s="982">
        <v>133574</v>
      </c>
      <c r="J29" s="981">
        <v>1</v>
      </c>
      <c r="K29" s="982">
        <v>134000</v>
      </c>
    </row>
    <row r="30" spans="1:11" ht="15" x14ac:dyDescent="0.2">
      <c r="A30" s="978">
        <v>1</v>
      </c>
      <c r="B30" s="979" t="s">
        <v>958</v>
      </c>
      <c r="C30" s="979" t="s">
        <v>982</v>
      </c>
      <c r="D30" s="980">
        <v>5854368</v>
      </c>
      <c r="E30" s="980">
        <v>623000</v>
      </c>
      <c r="F30" s="979" t="s">
        <v>980</v>
      </c>
      <c r="G30" s="979" t="s">
        <v>980</v>
      </c>
      <c r="H30" s="981">
        <v>1</v>
      </c>
      <c r="I30" s="982">
        <v>110084</v>
      </c>
      <c r="J30" s="981">
        <v>1</v>
      </c>
      <c r="K30" s="982">
        <v>110000</v>
      </c>
    </row>
    <row r="31" spans="1:11" ht="15" x14ac:dyDescent="0.2">
      <c r="A31" s="978">
        <v>1</v>
      </c>
      <c r="B31" s="979" t="s">
        <v>1077</v>
      </c>
      <c r="C31" s="979" t="s">
        <v>1348</v>
      </c>
      <c r="D31" s="980">
        <v>3443023</v>
      </c>
      <c r="E31" s="980">
        <v>623000</v>
      </c>
      <c r="F31" s="979" t="s">
        <v>980</v>
      </c>
      <c r="G31" s="979" t="s">
        <v>980</v>
      </c>
      <c r="H31" s="981">
        <v>1</v>
      </c>
      <c r="I31" s="982">
        <f>92188+919</f>
        <v>93107</v>
      </c>
      <c r="J31" s="981">
        <v>1</v>
      </c>
      <c r="K31" s="982">
        <f>93107/12*7</f>
        <v>54312.416666666672</v>
      </c>
    </row>
    <row r="32" spans="1:11" ht="15" x14ac:dyDescent="0.2">
      <c r="A32" s="1021" t="s">
        <v>1349</v>
      </c>
      <c r="B32" s="1023"/>
      <c r="C32" s="1023"/>
      <c r="D32" s="1024"/>
      <c r="E32" s="1024"/>
      <c r="F32" s="1023"/>
      <c r="G32" s="1023"/>
      <c r="H32" s="1029">
        <f>SUM(H23:H31)</f>
        <v>4.75</v>
      </c>
      <c r="I32" s="1025">
        <f>SUM(I28:I31)</f>
        <v>336765</v>
      </c>
      <c r="J32" s="1025">
        <f t="shared" ref="J32:K32" si="7">SUM(J28:J31)</f>
        <v>4</v>
      </c>
      <c r="K32" s="1025">
        <f t="shared" si="7"/>
        <v>328312.41666666669</v>
      </c>
    </row>
    <row r="33" spans="1:11" ht="60" x14ac:dyDescent="0.2">
      <c r="A33" s="978">
        <v>1</v>
      </c>
      <c r="B33" s="979" t="s">
        <v>987</v>
      </c>
      <c r="C33" s="979" t="s">
        <v>988</v>
      </c>
      <c r="D33" s="980">
        <v>5891124</v>
      </c>
      <c r="E33" s="980">
        <v>711100</v>
      </c>
      <c r="F33" s="979" t="s">
        <v>124</v>
      </c>
      <c r="G33" s="979" t="s">
        <v>1816</v>
      </c>
      <c r="H33" s="981">
        <v>1</v>
      </c>
      <c r="I33" s="982">
        <v>116168</v>
      </c>
      <c r="J33" s="981">
        <v>1</v>
      </c>
      <c r="K33" s="982">
        <v>120000</v>
      </c>
    </row>
    <row r="34" spans="1:11" ht="15" x14ac:dyDescent="0.2">
      <c r="A34" s="1021" t="s">
        <v>1350</v>
      </c>
      <c r="B34" s="1023"/>
      <c r="C34" s="1023"/>
      <c r="D34" s="1024"/>
      <c r="E34" s="1024"/>
      <c r="F34" s="1023"/>
      <c r="G34" s="1023"/>
      <c r="H34" s="1026">
        <f>SUM(H33)</f>
        <v>1</v>
      </c>
      <c r="I34" s="1025">
        <f>SUM(I33)</f>
        <v>116168</v>
      </c>
      <c r="J34" s="1029">
        <f>SUM(J33)</f>
        <v>1</v>
      </c>
      <c r="K34" s="1025">
        <f t="shared" ref="K34" si="8">SUM(K33)</f>
        <v>120000</v>
      </c>
    </row>
    <row r="35" spans="1:11" ht="30" x14ac:dyDescent="0.2">
      <c r="A35" s="978">
        <v>1</v>
      </c>
      <c r="B35" s="979" t="s">
        <v>1351</v>
      </c>
      <c r="C35" s="979" t="s">
        <v>1048</v>
      </c>
      <c r="D35" s="980">
        <v>5763017</v>
      </c>
      <c r="E35" s="980">
        <v>712200</v>
      </c>
      <c r="F35" s="979" t="s">
        <v>124</v>
      </c>
      <c r="G35" s="979" t="s">
        <v>1352</v>
      </c>
      <c r="H35" s="981">
        <v>1</v>
      </c>
      <c r="I35" s="982">
        <v>89705</v>
      </c>
      <c r="J35" s="981">
        <v>1</v>
      </c>
      <c r="K35" s="982">
        <v>90000</v>
      </c>
    </row>
    <row r="36" spans="1:11" ht="15" x14ac:dyDescent="0.2">
      <c r="A36" s="1021" t="s">
        <v>1353</v>
      </c>
      <c r="B36" s="1023"/>
      <c r="C36" s="1023"/>
      <c r="D36" s="1024"/>
      <c r="E36" s="1024"/>
      <c r="F36" s="1023"/>
      <c r="G36" s="1023"/>
      <c r="H36" s="1029">
        <f>SUM(H35)</f>
        <v>1</v>
      </c>
      <c r="I36" s="1025">
        <f>SUM(I35)</f>
        <v>89705</v>
      </c>
      <c r="J36" s="1029">
        <f>SUM(J35)</f>
        <v>1</v>
      </c>
      <c r="K36" s="1025">
        <f t="shared" ref="K36" si="9">SUM(K35)</f>
        <v>90000</v>
      </c>
    </row>
    <row r="37" spans="1:11" ht="45" x14ac:dyDescent="0.2">
      <c r="A37" s="978">
        <v>1</v>
      </c>
      <c r="B37" s="979" t="s">
        <v>990</v>
      </c>
      <c r="C37" s="979" t="s">
        <v>982</v>
      </c>
      <c r="D37" s="980">
        <v>5250845</v>
      </c>
      <c r="E37" s="980">
        <v>713000</v>
      </c>
      <c r="F37" s="979" t="s">
        <v>991</v>
      </c>
      <c r="G37" s="979" t="s">
        <v>1354</v>
      </c>
      <c r="H37" s="981">
        <v>1</v>
      </c>
      <c r="I37" s="982">
        <v>107451</v>
      </c>
      <c r="J37" s="981">
        <v>1</v>
      </c>
      <c r="K37" s="982">
        <v>90083</v>
      </c>
    </row>
    <row r="38" spans="1:11" ht="45" x14ac:dyDescent="0.2">
      <c r="A38" s="978">
        <v>1</v>
      </c>
      <c r="B38" s="979" t="s">
        <v>943</v>
      </c>
      <c r="C38" s="979" t="s">
        <v>1085</v>
      </c>
      <c r="D38" s="980">
        <v>5575111</v>
      </c>
      <c r="E38" s="980">
        <v>713000</v>
      </c>
      <c r="F38" s="979" t="s">
        <v>991</v>
      </c>
      <c r="G38" s="979" t="s">
        <v>1355</v>
      </c>
      <c r="H38" s="981">
        <v>1</v>
      </c>
      <c r="I38" s="982">
        <v>97878</v>
      </c>
      <c r="J38" s="981">
        <v>1</v>
      </c>
      <c r="K38" s="982">
        <v>110000</v>
      </c>
    </row>
    <row r="39" spans="1:11" ht="15" x14ac:dyDescent="0.2">
      <c r="A39" s="1030" t="s">
        <v>881</v>
      </c>
      <c r="B39" s="1031"/>
      <c r="C39" s="1031"/>
      <c r="D39" s="1032"/>
      <c r="E39" s="1032"/>
      <c r="F39" s="1031"/>
      <c r="G39" s="1031"/>
      <c r="H39" s="1033">
        <f>SUM(H37:H38)</f>
        <v>2</v>
      </c>
      <c r="I39" s="1025">
        <f>SUM(I37:I38)</f>
        <v>205329</v>
      </c>
      <c r="J39" s="1029">
        <f>SUM(J37:J38)</f>
        <v>2</v>
      </c>
      <c r="K39" s="1025">
        <f>SUM(K37:K38)</f>
        <v>200083</v>
      </c>
    </row>
    <row r="40" spans="1:11" ht="45" x14ac:dyDescent="0.2">
      <c r="A40" s="978"/>
      <c r="B40" s="979" t="s">
        <v>1356</v>
      </c>
      <c r="C40" s="979" t="s">
        <v>758</v>
      </c>
      <c r="D40" s="980">
        <v>999999</v>
      </c>
      <c r="E40" s="980">
        <v>7133000</v>
      </c>
      <c r="F40" s="979" t="s">
        <v>1357</v>
      </c>
      <c r="G40" s="979" t="s">
        <v>989</v>
      </c>
      <c r="H40" s="981">
        <v>0</v>
      </c>
      <c r="I40" s="982">
        <v>0</v>
      </c>
      <c r="J40" s="981">
        <v>0.5</v>
      </c>
      <c r="K40" s="982">
        <v>30000</v>
      </c>
    </row>
    <row r="41" spans="1:11" ht="15" x14ac:dyDescent="0.2">
      <c r="A41" s="1021" t="s">
        <v>1358</v>
      </c>
      <c r="B41" s="1023"/>
      <c r="C41" s="1023"/>
      <c r="D41" s="1024"/>
      <c r="E41" s="1024"/>
      <c r="F41" s="1023"/>
      <c r="G41" s="1023"/>
      <c r="H41" s="1026">
        <v>0</v>
      </c>
      <c r="I41" s="1025">
        <f>SUM(I40)</f>
        <v>0</v>
      </c>
      <c r="J41" s="1029">
        <f>SUM(J40)</f>
        <v>0.5</v>
      </c>
      <c r="K41" s="1025">
        <f t="shared" ref="K41" si="10">SUM(K40)</f>
        <v>30000</v>
      </c>
    </row>
    <row r="42" spans="1:11" ht="30" x14ac:dyDescent="0.2">
      <c r="A42" s="978">
        <v>1</v>
      </c>
      <c r="B42" s="979" t="s">
        <v>995</v>
      </c>
      <c r="C42" s="979" t="s">
        <v>996</v>
      </c>
      <c r="D42" s="980">
        <v>5692116</v>
      </c>
      <c r="E42" s="980">
        <v>714100</v>
      </c>
      <c r="F42" s="979" t="s">
        <v>997</v>
      </c>
      <c r="G42" s="979" t="s">
        <v>998</v>
      </c>
      <c r="H42" s="981">
        <v>0.2</v>
      </c>
      <c r="I42" s="982">
        <v>89558</v>
      </c>
      <c r="J42" s="981">
        <v>0.2</v>
      </c>
      <c r="K42" s="982">
        <v>90000</v>
      </c>
    </row>
    <row r="43" spans="1:11" ht="15" x14ac:dyDescent="0.2">
      <c r="A43" s="1021" t="s">
        <v>1359</v>
      </c>
      <c r="B43" s="1023"/>
      <c r="C43" s="1023"/>
      <c r="D43" s="1024"/>
      <c r="E43" s="1024"/>
      <c r="F43" s="1023"/>
      <c r="G43" s="1023"/>
      <c r="H43" s="1029">
        <f>SUM(H42)</f>
        <v>0.2</v>
      </c>
      <c r="I43" s="1025">
        <f>SUM(I42)</f>
        <v>89558</v>
      </c>
      <c r="J43" s="1029">
        <f>SUM(J42)</f>
        <v>0.2</v>
      </c>
      <c r="K43" s="1025">
        <f t="shared" ref="K43" si="11">SUM(K42)</f>
        <v>90000</v>
      </c>
    </row>
    <row r="44" spans="1:11" ht="30" x14ac:dyDescent="0.2">
      <c r="A44" s="978"/>
      <c r="B44" s="979" t="s">
        <v>1547</v>
      </c>
      <c r="C44" s="979" t="s">
        <v>1807</v>
      </c>
      <c r="D44" s="806">
        <v>3416090</v>
      </c>
      <c r="E44" s="980">
        <v>721000</v>
      </c>
      <c r="F44" s="979" t="s">
        <v>403</v>
      </c>
      <c r="G44" s="979" t="s">
        <v>1810</v>
      </c>
      <c r="H44" s="981">
        <v>0</v>
      </c>
      <c r="I44" s="982">
        <v>0</v>
      </c>
      <c r="J44" s="981">
        <v>1</v>
      </c>
      <c r="K44" s="982">
        <v>60000</v>
      </c>
    </row>
    <row r="45" spans="1:11" ht="15" x14ac:dyDescent="0.2">
      <c r="A45" s="1021" t="s">
        <v>1811</v>
      </c>
      <c r="B45" s="1023"/>
      <c r="C45" s="1023"/>
      <c r="D45" s="1024"/>
      <c r="E45" s="1024"/>
      <c r="F45" s="1023"/>
      <c r="G45" s="1023"/>
      <c r="H45" s="1029">
        <f>SUM(H44)</f>
        <v>0</v>
      </c>
      <c r="I45" s="1025">
        <f t="shared" ref="I45:J45" si="12">SUM(I44)</f>
        <v>0</v>
      </c>
      <c r="J45" s="1029">
        <f t="shared" si="12"/>
        <v>1</v>
      </c>
      <c r="K45" s="1025">
        <f>SUM(K44)</f>
        <v>60000</v>
      </c>
    </row>
    <row r="46" spans="1:11" ht="30" x14ac:dyDescent="0.2">
      <c r="A46" s="978">
        <v>1</v>
      </c>
      <c r="B46" s="979" t="s">
        <v>1360</v>
      </c>
      <c r="C46" s="979" t="s">
        <v>1361</v>
      </c>
      <c r="D46" s="980">
        <v>5243437</v>
      </c>
      <c r="E46" s="980">
        <v>731000</v>
      </c>
      <c r="F46" s="979" t="s">
        <v>1000</v>
      </c>
      <c r="G46" s="979" t="s">
        <v>1001</v>
      </c>
      <c r="H46" s="981">
        <v>1</v>
      </c>
      <c r="I46" s="982">
        <v>372335</v>
      </c>
      <c r="J46" s="981">
        <v>1</v>
      </c>
      <c r="K46" s="982">
        <v>390000</v>
      </c>
    </row>
    <row r="47" spans="1:11" ht="30" x14ac:dyDescent="0.2">
      <c r="A47" s="978">
        <v>1</v>
      </c>
      <c r="B47" s="979" t="s">
        <v>1005</v>
      </c>
      <c r="C47" s="979" t="s">
        <v>929</v>
      </c>
      <c r="D47" s="980">
        <v>2910410</v>
      </c>
      <c r="E47" s="980">
        <v>731000</v>
      </c>
      <c r="F47" s="979" t="s">
        <v>1000</v>
      </c>
      <c r="G47" s="979" t="s">
        <v>931</v>
      </c>
      <c r="H47" s="981">
        <v>1</v>
      </c>
      <c r="I47" s="982">
        <v>102873</v>
      </c>
      <c r="J47" s="981">
        <v>1</v>
      </c>
      <c r="K47" s="982">
        <v>103000</v>
      </c>
    </row>
    <row r="48" spans="1:11" ht="30" x14ac:dyDescent="0.2">
      <c r="A48" s="978">
        <v>1</v>
      </c>
      <c r="B48" s="979" t="s">
        <v>1052</v>
      </c>
      <c r="C48" s="979" t="s">
        <v>1362</v>
      </c>
      <c r="D48" s="806">
        <v>3722266</v>
      </c>
      <c r="E48" s="980">
        <v>731000</v>
      </c>
      <c r="F48" s="979" t="s">
        <v>1000</v>
      </c>
      <c r="G48" s="979" t="s">
        <v>1007</v>
      </c>
      <c r="H48" s="981">
        <v>1</v>
      </c>
      <c r="I48" s="982">
        <v>80289</v>
      </c>
      <c r="J48" s="981">
        <v>1</v>
      </c>
      <c r="K48" s="982">
        <v>80300</v>
      </c>
    </row>
    <row r="49" spans="1:11" ht="15" x14ac:dyDescent="0.2">
      <c r="A49" s="1021" t="s">
        <v>1363</v>
      </c>
      <c r="B49" s="1023"/>
      <c r="C49" s="1023"/>
      <c r="D49" s="1024"/>
      <c r="E49" s="1024"/>
      <c r="F49" s="1023"/>
      <c r="G49" s="1023"/>
      <c r="H49" s="1029">
        <f>SUM(H46:H48)</f>
        <v>3</v>
      </c>
      <c r="I49" s="1025">
        <f>SUM(I46:I48)</f>
        <v>555497</v>
      </c>
      <c r="J49" s="1029">
        <f>SUM(J46:J48)</f>
        <v>3</v>
      </c>
      <c r="K49" s="1025">
        <f t="shared" ref="K49" si="13">SUM(K46:K48)</f>
        <v>573300</v>
      </c>
    </row>
    <row r="50" spans="1:11" ht="30" x14ac:dyDescent="0.2">
      <c r="A50" s="978">
        <v>1</v>
      </c>
      <c r="B50" s="979" t="s">
        <v>924</v>
      </c>
      <c r="C50" s="979" t="s">
        <v>1019</v>
      </c>
      <c r="D50" s="980">
        <v>27674282</v>
      </c>
      <c r="E50" s="980">
        <v>742200</v>
      </c>
      <c r="F50" s="979" t="s">
        <v>1009</v>
      </c>
      <c r="G50" s="979" t="s">
        <v>1010</v>
      </c>
      <c r="H50" s="981">
        <v>1</v>
      </c>
      <c r="I50" s="982">
        <v>48917</v>
      </c>
      <c r="J50" s="981">
        <v>1</v>
      </c>
      <c r="K50" s="982">
        <v>95000</v>
      </c>
    </row>
    <row r="51" spans="1:11" ht="30" x14ac:dyDescent="0.2">
      <c r="A51" s="978">
        <v>1</v>
      </c>
      <c r="B51" s="979" t="s">
        <v>924</v>
      </c>
      <c r="C51" s="979" t="s">
        <v>1012</v>
      </c>
      <c r="D51" s="980">
        <v>2827909</v>
      </c>
      <c r="E51" s="980">
        <v>742200</v>
      </c>
      <c r="F51" s="979" t="s">
        <v>1009</v>
      </c>
      <c r="G51" s="979" t="s">
        <v>1010</v>
      </c>
      <c r="H51" s="981">
        <v>1</v>
      </c>
      <c r="I51" s="982">
        <v>207000</v>
      </c>
      <c r="J51" s="981">
        <v>1</v>
      </c>
      <c r="K51" s="982">
        <v>208000</v>
      </c>
    </row>
    <row r="52" spans="1:11" ht="30" x14ac:dyDescent="0.2">
      <c r="A52" s="978">
        <v>1</v>
      </c>
      <c r="B52" s="979" t="s">
        <v>958</v>
      </c>
      <c r="C52" s="979" t="s">
        <v>1008</v>
      </c>
      <c r="D52" s="980">
        <v>3117319</v>
      </c>
      <c r="E52" s="980">
        <v>742200</v>
      </c>
      <c r="F52" s="979" t="s">
        <v>1009</v>
      </c>
      <c r="G52" s="979" t="s">
        <v>1010</v>
      </c>
      <c r="H52" s="981">
        <v>1</v>
      </c>
      <c r="I52" s="982">
        <v>127706</v>
      </c>
      <c r="J52" s="981">
        <v>1</v>
      </c>
      <c r="K52" s="982">
        <v>128000</v>
      </c>
    </row>
    <row r="53" spans="1:11" ht="45" x14ac:dyDescent="0.2">
      <c r="A53" s="978">
        <v>1</v>
      </c>
      <c r="B53" s="979" t="s">
        <v>958</v>
      </c>
      <c r="C53" s="979" t="s">
        <v>1011</v>
      </c>
      <c r="D53" s="980">
        <v>4624553</v>
      </c>
      <c r="E53" s="980">
        <v>742200</v>
      </c>
      <c r="F53" s="979" t="s">
        <v>1009</v>
      </c>
      <c r="G53" s="979" t="s">
        <v>1364</v>
      </c>
      <c r="H53" s="981">
        <v>1</v>
      </c>
      <c r="I53" s="982">
        <v>84482</v>
      </c>
      <c r="J53" s="981">
        <v>0</v>
      </c>
      <c r="K53" s="982">
        <v>0</v>
      </c>
    </row>
    <row r="54" spans="1:11" ht="30" x14ac:dyDescent="0.2">
      <c r="A54" s="978">
        <v>1</v>
      </c>
      <c r="B54" s="979" t="s">
        <v>975</v>
      </c>
      <c r="C54" s="979" t="s">
        <v>1013</v>
      </c>
      <c r="D54" s="980">
        <v>5938504</v>
      </c>
      <c r="E54" s="980">
        <v>742200</v>
      </c>
      <c r="F54" s="979" t="s">
        <v>1009</v>
      </c>
      <c r="G54" s="979" t="s">
        <v>1010</v>
      </c>
      <c r="H54" s="981">
        <v>1</v>
      </c>
      <c r="I54" s="982">
        <v>131808</v>
      </c>
      <c r="J54" s="981">
        <v>1</v>
      </c>
      <c r="K54" s="982">
        <v>26000</v>
      </c>
    </row>
    <row r="55" spans="1:11" ht="30" x14ac:dyDescent="0.2">
      <c r="A55" s="978"/>
      <c r="B55" s="979" t="s">
        <v>936</v>
      </c>
      <c r="C55" s="979" t="s">
        <v>936</v>
      </c>
      <c r="D55" s="980">
        <v>9999999</v>
      </c>
      <c r="E55" s="980">
        <v>742200</v>
      </c>
      <c r="F55" s="979" t="s">
        <v>1009</v>
      </c>
      <c r="G55" s="979" t="s">
        <v>1010</v>
      </c>
      <c r="H55" s="981">
        <v>0</v>
      </c>
      <c r="I55" s="982">
        <v>0</v>
      </c>
      <c r="J55" s="981">
        <v>1</v>
      </c>
      <c r="K55" s="982">
        <v>30000</v>
      </c>
    </row>
    <row r="56" spans="1:11" ht="30" x14ac:dyDescent="0.2">
      <c r="A56" s="978">
        <v>1</v>
      </c>
      <c r="B56" s="979" t="s">
        <v>1018</v>
      </c>
      <c r="C56" s="979" t="s">
        <v>1017</v>
      </c>
      <c r="D56" s="980">
        <v>5575149</v>
      </c>
      <c r="E56" s="980">
        <v>742200</v>
      </c>
      <c r="F56" s="979" t="s">
        <v>1009</v>
      </c>
      <c r="G56" s="979" t="s">
        <v>1365</v>
      </c>
      <c r="H56" s="981">
        <v>1</v>
      </c>
      <c r="I56" s="982">
        <v>98918</v>
      </c>
      <c r="J56" s="981">
        <v>1</v>
      </c>
      <c r="K56" s="982">
        <v>99000</v>
      </c>
    </row>
    <row r="57" spans="1:11" ht="45" x14ac:dyDescent="0.2">
      <c r="A57" s="978">
        <v>1</v>
      </c>
      <c r="B57" s="979" t="s">
        <v>958</v>
      </c>
      <c r="C57" s="979" t="s">
        <v>1081</v>
      </c>
      <c r="D57" s="980">
        <v>2646223</v>
      </c>
      <c r="E57" s="980">
        <v>742200</v>
      </c>
      <c r="F57" s="979" t="s">
        <v>1009</v>
      </c>
      <c r="G57" s="979" t="s">
        <v>1070</v>
      </c>
      <c r="H57" s="981">
        <v>1</v>
      </c>
      <c r="I57" s="982">
        <v>125286</v>
      </c>
      <c r="J57" s="981">
        <v>1</v>
      </c>
      <c r="K57" s="982">
        <v>126000</v>
      </c>
    </row>
    <row r="58" spans="1:11" ht="15" x14ac:dyDescent="0.2">
      <c r="A58" s="1021" t="s">
        <v>1366</v>
      </c>
      <c r="B58" s="1023"/>
      <c r="C58" s="1023"/>
      <c r="D58" s="1024"/>
      <c r="E58" s="1024"/>
      <c r="F58" s="1023"/>
      <c r="G58" s="1023"/>
      <c r="H58" s="1029">
        <f>SUM(H50:H57)</f>
        <v>7</v>
      </c>
      <c r="I58" s="1025">
        <f>SUM(I50:I57)</f>
        <v>824117</v>
      </c>
      <c r="J58" s="1029">
        <f>SUM(J50:J57)</f>
        <v>7</v>
      </c>
      <c r="K58" s="1025">
        <f t="shared" ref="K58" si="14">SUM(K50:K57)</f>
        <v>712000</v>
      </c>
    </row>
    <row r="59" spans="1:11" ht="30" x14ac:dyDescent="0.2">
      <c r="A59" s="978">
        <v>1</v>
      </c>
      <c r="B59" s="979" t="s">
        <v>958</v>
      </c>
      <c r="C59" s="979" t="s">
        <v>1028</v>
      </c>
      <c r="D59" s="980">
        <v>5993069</v>
      </c>
      <c r="E59" s="980">
        <v>823000</v>
      </c>
      <c r="F59" s="979" t="s">
        <v>1029</v>
      </c>
      <c r="G59" s="979" t="s">
        <v>1030</v>
      </c>
      <c r="H59" s="981">
        <v>0.8</v>
      </c>
      <c r="I59" s="982">
        <v>80526</v>
      </c>
      <c r="J59" s="981">
        <v>0.8</v>
      </c>
      <c r="K59" s="982">
        <v>82000</v>
      </c>
    </row>
    <row r="60" spans="1:11" ht="15" x14ac:dyDescent="0.2">
      <c r="A60" s="1021" t="s">
        <v>1367</v>
      </c>
      <c r="B60" s="1023"/>
      <c r="C60" s="1023"/>
      <c r="D60" s="1024"/>
      <c r="E60" s="1024"/>
      <c r="F60" s="1023"/>
      <c r="G60" s="1023"/>
      <c r="H60" s="1026"/>
      <c r="I60" s="1025">
        <f>SUM(I59:I59)</f>
        <v>80526</v>
      </c>
      <c r="J60" s="1025">
        <f t="shared" ref="J60:K60" si="15">SUM(J59:J59)</f>
        <v>0.8</v>
      </c>
      <c r="K60" s="1025">
        <f t="shared" si="15"/>
        <v>82000</v>
      </c>
    </row>
    <row r="61" spans="1:11" ht="45" x14ac:dyDescent="0.2">
      <c r="A61" s="987"/>
      <c r="B61" s="979" t="s">
        <v>1368</v>
      </c>
      <c r="C61" s="979" t="s">
        <v>758</v>
      </c>
      <c r="D61" s="980">
        <v>999999</v>
      </c>
      <c r="E61" s="980">
        <v>824000</v>
      </c>
      <c r="F61" s="979" t="s">
        <v>1369</v>
      </c>
      <c r="G61" s="979" t="s">
        <v>1346</v>
      </c>
      <c r="H61" s="981">
        <v>0.5</v>
      </c>
      <c r="I61" s="982">
        <v>0</v>
      </c>
      <c r="J61" s="981">
        <v>0.5</v>
      </c>
      <c r="K61" s="982">
        <v>40000</v>
      </c>
    </row>
    <row r="62" spans="1:11" ht="15" x14ac:dyDescent="0.2">
      <c r="A62" s="978">
        <v>1</v>
      </c>
      <c r="B62" s="979" t="s">
        <v>924</v>
      </c>
      <c r="C62" s="979" t="s">
        <v>1032</v>
      </c>
      <c r="D62" s="980">
        <v>2625132</v>
      </c>
      <c r="E62" s="980">
        <v>824000</v>
      </c>
      <c r="F62" s="979" t="s">
        <v>1033</v>
      </c>
      <c r="G62" s="979" t="s">
        <v>981</v>
      </c>
      <c r="H62" s="981">
        <v>0.6</v>
      </c>
      <c r="I62" s="982">
        <v>56558</v>
      </c>
      <c r="J62" s="981">
        <v>0.6</v>
      </c>
      <c r="K62" s="982">
        <v>60000</v>
      </c>
    </row>
    <row r="63" spans="1:11" ht="15" x14ac:dyDescent="0.2">
      <c r="A63" s="978">
        <v>1</v>
      </c>
      <c r="B63" s="979" t="s">
        <v>987</v>
      </c>
      <c r="C63" s="979" t="s">
        <v>1034</v>
      </c>
      <c r="D63" s="980">
        <v>2750789</v>
      </c>
      <c r="E63" s="980">
        <v>824000</v>
      </c>
      <c r="F63" s="979" t="s">
        <v>1033</v>
      </c>
      <c r="G63" s="979" t="s">
        <v>931</v>
      </c>
      <c r="H63" s="981">
        <v>0.6</v>
      </c>
      <c r="I63" s="982">
        <v>47822</v>
      </c>
      <c r="J63" s="981">
        <v>0.6</v>
      </c>
      <c r="K63" s="982">
        <v>55000</v>
      </c>
    </row>
    <row r="64" spans="1:11" ht="15" x14ac:dyDescent="0.2">
      <c r="A64" s="1021" t="s">
        <v>1370</v>
      </c>
      <c r="B64" s="1023"/>
      <c r="C64" s="1023"/>
      <c r="D64" s="1024"/>
      <c r="E64" s="1024"/>
      <c r="F64" s="1023"/>
      <c r="G64" s="1023"/>
      <c r="H64" s="1026"/>
      <c r="I64" s="1025">
        <f>SUM(I61:I63)</f>
        <v>104380</v>
      </c>
      <c r="J64" s="1025">
        <f t="shared" ref="J64:K64" si="16">SUM(J61:J63)</f>
        <v>1.7000000000000002</v>
      </c>
      <c r="K64" s="1025">
        <f t="shared" si="16"/>
        <v>155000</v>
      </c>
    </row>
    <row r="65" spans="1:11" ht="15" x14ac:dyDescent="0.2">
      <c r="A65" s="978">
        <v>1</v>
      </c>
      <c r="B65" s="979" t="s">
        <v>1035</v>
      </c>
      <c r="C65" s="979" t="s">
        <v>1036</v>
      </c>
      <c r="D65" s="980">
        <v>5763010</v>
      </c>
      <c r="E65" s="980">
        <v>825000</v>
      </c>
      <c r="F65" s="979" t="s">
        <v>1037</v>
      </c>
      <c r="G65" s="979" t="s">
        <v>981</v>
      </c>
      <c r="H65" s="981">
        <v>0.6</v>
      </c>
      <c r="I65" s="982">
        <v>56172</v>
      </c>
      <c r="J65" s="981">
        <v>0.6</v>
      </c>
      <c r="K65" s="982">
        <v>57000</v>
      </c>
    </row>
    <row r="66" spans="1:11" ht="15" x14ac:dyDescent="0.2">
      <c r="A66" s="1021" t="s">
        <v>1371</v>
      </c>
      <c r="B66" s="1023"/>
      <c r="C66" s="1023"/>
      <c r="D66" s="1024"/>
      <c r="E66" s="1024"/>
      <c r="F66" s="1023"/>
      <c r="G66" s="1023"/>
      <c r="H66" s="1026"/>
      <c r="I66" s="1025">
        <f>SUM(I65)</f>
        <v>56172</v>
      </c>
      <c r="J66" s="1025">
        <f t="shared" ref="J66:K66" si="17">SUM(J65)</f>
        <v>0.6</v>
      </c>
      <c r="K66" s="1025">
        <f t="shared" si="17"/>
        <v>57000</v>
      </c>
    </row>
    <row r="67" spans="1:11" ht="30" x14ac:dyDescent="0.2">
      <c r="A67" s="978">
        <v>1</v>
      </c>
      <c r="B67" s="979" t="s">
        <v>936</v>
      </c>
      <c r="C67" s="979" t="s">
        <v>936</v>
      </c>
      <c r="D67" s="980">
        <v>9999999</v>
      </c>
      <c r="E67" s="980">
        <v>828100</v>
      </c>
      <c r="F67" s="979" t="s">
        <v>1049</v>
      </c>
      <c r="G67" s="979" t="s">
        <v>1049</v>
      </c>
      <c r="H67" s="981">
        <v>0.5</v>
      </c>
      <c r="I67" s="982">
        <f>5304+3040</f>
        <v>8344</v>
      </c>
      <c r="J67" s="981">
        <v>0.5</v>
      </c>
      <c r="K67" s="982">
        <v>40000</v>
      </c>
    </row>
    <row r="68" spans="1:11" ht="30" x14ac:dyDescent="0.2">
      <c r="A68" s="978">
        <v>1</v>
      </c>
      <c r="B68" s="979" t="s">
        <v>1372</v>
      </c>
      <c r="C68" s="979" t="s">
        <v>944</v>
      </c>
      <c r="D68" s="980">
        <v>2474642</v>
      </c>
      <c r="E68" s="980">
        <v>828100</v>
      </c>
      <c r="F68" s="979" t="s">
        <v>1049</v>
      </c>
      <c r="G68" s="979" t="s">
        <v>1049</v>
      </c>
      <c r="H68" s="981">
        <v>1</v>
      </c>
      <c r="I68" s="982">
        <v>89523</v>
      </c>
      <c r="J68" s="981">
        <v>1</v>
      </c>
      <c r="K68" s="982">
        <v>70000</v>
      </c>
    </row>
    <row r="69" spans="1:11" ht="45" x14ac:dyDescent="0.2">
      <c r="A69" s="978">
        <v>1</v>
      </c>
      <c r="B69" s="979" t="s">
        <v>1052</v>
      </c>
      <c r="C69" s="979" t="s">
        <v>1053</v>
      </c>
      <c r="D69" s="980">
        <v>5944923</v>
      </c>
      <c r="E69" s="980">
        <v>828100</v>
      </c>
      <c r="F69" s="979" t="s">
        <v>1049</v>
      </c>
      <c r="G69" s="979" t="s">
        <v>1373</v>
      </c>
      <c r="H69" s="981">
        <v>1</v>
      </c>
      <c r="I69" s="982">
        <v>127294</v>
      </c>
      <c r="J69" s="981">
        <v>1</v>
      </c>
      <c r="K69" s="982">
        <v>130000</v>
      </c>
    </row>
    <row r="70" spans="1:11" ht="45" x14ac:dyDescent="0.2">
      <c r="A70" s="978">
        <v>1</v>
      </c>
      <c r="B70" s="979" t="s">
        <v>936</v>
      </c>
      <c r="C70" s="979" t="s">
        <v>936</v>
      </c>
      <c r="D70" s="980">
        <v>9999999</v>
      </c>
      <c r="E70" s="980">
        <v>828100</v>
      </c>
      <c r="F70" s="979" t="s">
        <v>1049</v>
      </c>
      <c r="G70" s="979" t="s">
        <v>1375</v>
      </c>
      <c r="H70" s="981">
        <v>0.25</v>
      </c>
      <c r="I70" s="982">
        <v>0</v>
      </c>
      <c r="J70" s="981">
        <v>0.25</v>
      </c>
      <c r="K70" s="982">
        <v>42000</v>
      </c>
    </row>
    <row r="71" spans="1:11" ht="15" x14ac:dyDescent="0.2">
      <c r="A71" s="1021" t="s">
        <v>1376</v>
      </c>
      <c r="B71" s="1023"/>
      <c r="C71" s="1023"/>
      <c r="D71" s="1024"/>
      <c r="E71" s="1024"/>
      <c r="F71" s="1023"/>
      <c r="G71" s="1023"/>
      <c r="H71" s="1026"/>
      <c r="I71" s="1025">
        <f>SUM(I67:I70)</f>
        <v>225161</v>
      </c>
      <c r="J71" s="1025">
        <f t="shared" ref="J71:K71" si="18">SUM(J67:J70)</f>
        <v>2.75</v>
      </c>
      <c r="K71" s="1025">
        <f t="shared" si="18"/>
        <v>282000</v>
      </c>
    </row>
    <row r="72" spans="1:11" ht="45" x14ac:dyDescent="0.2">
      <c r="A72" s="978">
        <v>1</v>
      </c>
      <c r="B72" s="979" t="s">
        <v>1050</v>
      </c>
      <c r="C72" s="979" t="s">
        <v>1051</v>
      </c>
      <c r="D72" s="980">
        <v>5079682</v>
      </c>
      <c r="E72" s="980">
        <v>829000</v>
      </c>
      <c r="F72" s="979" t="s">
        <v>1064</v>
      </c>
      <c r="G72" s="979" t="s">
        <v>1065</v>
      </c>
      <c r="H72" s="981">
        <v>1</v>
      </c>
      <c r="I72" s="982">
        <v>108860</v>
      </c>
      <c r="J72" s="981">
        <v>1</v>
      </c>
      <c r="K72" s="982">
        <v>110000</v>
      </c>
    </row>
    <row r="73" spans="1:11" ht="45" x14ac:dyDescent="0.2">
      <c r="A73" s="978">
        <v>1</v>
      </c>
      <c r="B73" s="979" t="s">
        <v>939</v>
      </c>
      <c r="C73" s="979" t="s">
        <v>1066</v>
      </c>
      <c r="D73" s="980">
        <v>5934878</v>
      </c>
      <c r="E73" s="980">
        <v>829000</v>
      </c>
      <c r="F73" s="979" t="s">
        <v>1064</v>
      </c>
      <c r="G73" s="979" t="s">
        <v>1067</v>
      </c>
      <c r="H73" s="981">
        <v>1</v>
      </c>
      <c r="I73" s="982">
        <v>114015</v>
      </c>
      <c r="J73" s="981">
        <v>1</v>
      </c>
      <c r="K73" s="982">
        <v>114000</v>
      </c>
    </row>
    <row r="74" spans="1:11" ht="45" x14ac:dyDescent="0.2">
      <c r="A74" s="978">
        <v>1</v>
      </c>
      <c r="B74" s="979" t="s">
        <v>1068</v>
      </c>
      <c r="C74" s="979" t="s">
        <v>1069</v>
      </c>
      <c r="D74" s="980">
        <v>2086314</v>
      </c>
      <c r="E74" s="980">
        <v>829000</v>
      </c>
      <c r="F74" s="979" t="s">
        <v>1064</v>
      </c>
      <c r="G74" s="979" t="s">
        <v>1070</v>
      </c>
      <c r="H74" s="981">
        <v>1</v>
      </c>
      <c r="I74" s="982">
        <v>88150</v>
      </c>
      <c r="J74" s="981">
        <v>0</v>
      </c>
      <c r="K74" s="982">
        <v>0</v>
      </c>
    </row>
    <row r="75" spans="1:11" ht="45" x14ac:dyDescent="0.2">
      <c r="A75" s="978">
        <v>1</v>
      </c>
      <c r="B75" s="979" t="s">
        <v>1377</v>
      </c>
      <c r="C75" s="979" t="s">
        <v>1378</v>
      </c>
      <c r="D75" s="980">
        <v>5891062</v>
      </c>
      <c r="E75" s="980">
        <v>829000</v>
      </c>
      <c r="F75" s="979" t="s">
        <v>1064</v>
      </c>
      <c r="G75" s="979" t="s">
        <v>1379</v>
      </c>
      <c r="H75" s="981">
        <v>0.6</v>
      </c>
      <c r="I75" s="982">
        <v>55765</v>
      </c>
      <c r="J75" s="981">
        <v>0.6</v>
      </c>
      <c r="K75" s="982">
        <v>10000</v>
      </c>
    </row>
    <row r="76" spans="1:11" ht="45" x14ac:dyDescent="0.2">
      <c r="A76" s="978">
        <v>1</v>
      </c>
      <c r="B76" s="979" t="s">
        <v>943</v>
      </c>
      <c r="C76" s="979" t="s">
        <v>1539</v>
      </c>
      <c r="D76" s="980">
        <v>20055794</v>
      </c>
      <c r="E76" s="980">
        <v>813202</v>
      </c>
      <c r="F76" s="979" t="s">
        <v>1064</v>
      </c>
      <c r="G76" s="979" t="s">
        <v>1379</v>
      </c>
      <c r="H76" s="981">
        <v>0</v>
      </c>
      <c r="I76" s="982">
        <v>0</v>
      </c>
      <c r="J76" s="981">
        <v>0.6</v>
      </c>
      <c r="K76" s="982">
        <v>30000</v>
      </c>
    </row>
    <row r="77" spans="1:11" ht="15" x14ac:dyDescent="0.2">
      <c r="A77" s="1021" t="s">
        <v>1380</v>
      </c>
      <c r="B77" s="1023"/>
      <c r="C77" s="1023"/>
      <c r="D77" s="1024"/>
      <c r="E77" s="1024"/>
      <c r="F77" s="1023"/>
      <c r="G77" s="1023"/>
      <c r="H77" s="1029">
        <f>SUM(H59:H76)</f>
        <v>9.4499999999999993</v>
      </c>
      <c r="I77" s="1025">
        <f>SUM(I72:I76)</f>
        <v>366790</v>
      </c>
      <c r="J77" s="1025">
        <f>SUM(J72:J76)</f>
        <v>3.2</v>
      </c>
      <c r="K77" s="1025">
        <f>SUM(K72:K76)</f>
        <v>264000</v>
      </c>
    </row>
    <row r="78" spans="1:11" ht="30" x14ac:dyDescent="0.2">
      <c r="A78" s="978">
        <v>1</v>
      </c>
      <c r="B78" s="979" t="s">
        <v>939</v>
      </c>
      <c r="C78" s="979" t="s">
        <v>1071</v>
      </c>
      <c r="D78" s="980">
        <v>5387559</v>
      </c>
      <c r="E78" s="980">
        <v>832400</v>
      </c>
      <c r="F78" s="979" t="s">
        <v>1072</v>
      </c>
      <c r="G78" s="979" t="s">
        <v>1073</v>
      </c>
      <c r="H78" s="981">
        <v>0.6</v>
      </c>
      <c r="I78" s="982">
        <v>59330</v>
      </c>
      <c r="J78" s="981">
        <v>0.6</v>
      </c>
      <c r="K78" s="982">
        <v>60000</v>
      </c>
    </row>
    <row r="79" spans="1:11" ht="15" x14ac:dyDescent="0.2">
      <c r="A79" s="1021" t="s">
        <v>1381</v>
      </c>
      <c r="B79" s="1023"/>
      <c r="C79" s="1023"/>
      <c r="D79" s="1024"/>
      <c r="E79" s="1024"/>
      <c r="F79" s="1023"/>
      <c r="G79" s="1023"/>
      <c r="H79" s="1029">
        <f>SUM(H78)</f>
        <v>0.6</v>
      </c>
      <c r="I79" s="1025">
        <f>SUM(I78:I78)</f>
        <v>59330</v>
      </c>
      <c r="J79" s="1029">
        <f>SUM(J78)</f>
        <v>0.6</v>
      </c>
      <c r="K79" s="1025">
        <f>SUM(K78:K78)</f>
        <v>60000</v>
      </c>
    </row>
    <row r="80" spans="1:11" ht="30" x14ac:dyDescent="0.2">
      <c r="A80" s="978">
        <v>1</v>
      </c>
      <c r="B80" s="979" t="s">
        <v>958</v>
      </c>
      <c r="C80" s="979" t="s">
        <v>1084</v>
      </c>
      <c r="D80" s="980">
        <v>5987092</v>
      </c>
      <c r="E80" s="980">
        <v>913000</v>
      </c>
      <c r="F80" s="979" t="s">
        <v>1082</v>
      </c>
      <c r="G80" s="979" t="s">
        <v>1083</v>
      </c>
      <c r="H80" s="981">
        <v>1</v>
      </c>
      <c r="I80" s="982">
        <v>121186</v>
      </c>
      <c r="J80" s="981">
        <v>1</v>
      </c>
      <c r="K80" s="982">
        <v>122000</v>
      </c>
    </row>
    <row r="81" spans="1:11" ht="30" x14ac:dyDescent="0.2">
      <c r="A81" s="978">
        <v>1</v>
      </c>
      <c r="B81" s="979" t="s">
        <v>1087</v>
      </c>
      <c r="C81" s="979" t="s">
        <v>1088</v>
      </c>
      <c r="D81" s="980">
        <v>5625702</v>
      </c>
      <c r="E81" s="980">
        <v>913000</v>
      </c>
      <c r="F81" s="979" t="s">
        <v>1082</v>
      </c>
      <c r="G81" s="979" t="s">
        <v>1083</v>
      </c>
      <c r="H81" s="981">
        <v>1</v>
      </c>
      <c r="I81" s="982">
        <v>195833</v>
      </c>
      <c r="J81" s="981">
        <v>1</v>
      </c>
      <c r="K81" s="982">
        <v>200000</v>
      </c>
    </row>
    <row r="82" spans="1:11" ht="30" x14ac:dyDescent="0.2">
      <c r="A82" s="978">
        <v>1</v>
      </c>
      <c r="B82" s="979" t="s">
        <v>993</v>
      </c>
      <c r="C82" s="979" t="s">
        <v>959</v>
      </c>
      <c r="D82" s="980">
        <v>30018623</v>
      </c>
      <c r="E82" s="980">
        <v>913000</v>
      </c>
      <c r="F82" s="979" t="s">
        <v>1082</v>
      </c>
      <c r="G82" s="979" t="s">
        <v>1382</v>
      </c>
      <c r="H82" s="981">
        <v>0.6</v>
      </c>
      <c r="I82" s="982">
        <v>71440</v>
      </c>
      <c r="J82" s="981">
        <v>0.6</v>
      </c>
      <c r="K82" s="982">
        <v>55000</v>
      </c>
    </row>
    <row r="83" spans="1:11" ht="15" x14ac:dyDescent="0.2">
      <c r="A83" s="978">
        <v>1</v>
      </c>
      <c r="B83" s="979" t="s">
        <v>943</v>
      </c>
      <c r="C83" s="979" t="s">
        <v>1085</v>
      </c>
      <c r="D83" s="980">
        <v>5575111</v>
      </c>
      <c r="E83" s="980">
        <v>713000</v>
      </c>
      <c r="F83" s="979"/>
      <c r="G83" s="979"/>
      <c r="H83" s="981">
        <v>0</v>
      </c>
      <c r="I83" s="982">
        <v>0</v>
      </c>
      <c r="J83" s="981">
        <v>0</v>
      </c>
      <c r="K83" s="982">
        <v>0</v>
      </c>
    </row>
    <row r="84" spans="1:11" ht="15" x14ac:dyDescent="0.2">
      <c r="A84" s="1021" t="s">
        <v>1383</v>
      </c>
      <c r="B84" s="1023"/>
      <c r="C84" s="1023"/>
      <c r="D84" s="1024"/>
      <c r="E84" s="1024"/>
      <c r="F84" s="1023"/>
      <c r="G84" s="1023"/>
      <c r="H84" s="1029">
        <f>SUM(H80:H82)</f>
        <v>2.6</v>
      </c>
      <c r="I84" s="1025">
        <f>SUM(I80:I82)</f>
        <v>388459</v>
      </c>
      <c r="J84" s="1029">
        <f>SUM(J80:J82)</f>
        <v>2.6</v>
      </c>
      <c r="K84" s="1025">
        <f t="shared" ref="K84" si="19">SUM(K80:K82)</f>
        <v>377000</v>
      </c>
    </row>
    <row r="85" spans="1:11" ht="15" x14ac:dyDescent="0.2">
      <c r="A85" s="978">
        <v>1</v>
      </c>
      <c r="B85" s="979" t="s">
        <v>1068</v>
      </c>
      <c r="C85" s="979" t="s">
        <v>1124</v>
      </c>
      <c r="D85" s="980">
        <v>2012818</v>
      </c>
      <c r="E85" s="980">
        <v>996000</v>
      </c>
      <c r="F85" s="979" t="s">
        <v>425</v>
      </c>
      <c r="G85" s="979" t="s">
        <v>425</v>
      </c>
      <c r="H85" s="981">
        <v>0.36</v>
      </c>
      <c r="I85" s="988">
        <v>30147</v>
      </c>
      <c r="J85" s="981">
        <v>0.36</v>
      </c>
      <c r="K85" s="988">
        <v>30147</v>
      </c>
    </row>
    <row r="86" spans="1:11" ht="15" x14ac:dyDescent="0.2">
      <c r="A86" s="978">
        <v>1</v>
      </c>
      <c r="B86" s="979" t="s">
        <v>955</v>
      </c>
      <c r="C86" s="979" t="s">
        <v>1144</v>
      </c>
      <c r="D86" s="980">
        <v>2013203</v>
      </c>
      <c r="E86" s="980">
        <v>996000</v>
      </c>
      <c r="F86" s="979" t="s">
        <v>425</v>
      </c>
      <c r="G86" s="979" t="s">
        <v>425</v>
      </c>
      <c r="H86" s="981">
        <v>0.42299999999999999</v>
      </c>
      <c r="I86" s="988">
        <v>36633</v>
      </c>
      <c r="J86" s="981">
        <v>0.42299999999999999</v>
      </c>
      <c r="K86" s="988">
        <v>36633</v>
      </c>
    </row>
    <row r="87" spans="1:11" ht="15" x14ac:dyDescent="0.2">
      <c r="A87" s="978">
        <v>1</v>
      </c>
      <c r="B87" s="979" t="s">
        <v>975</v>
      </c>
      <c r="C87" s="979" t="s">
        <v>1119</v>
      </c>
      <c r="D87" s="980">
        <v>2013214</v>
      </c>
      <c r="E87" s="980">
        <v>996000</v>
      </c>
      <c r="F87" s="979" t="s">
        <v>425</v>
      </c>
      <c r="G87" s="979" t="s">
        <v>425</v>
      </c>
      <c r="H87" s="981">
        <v>0.186</v>
      </c>
      <c r="I87" s="988">
        <v>14637</v>
      </c>
      <c r="J87" s="981">
        <v>0.186</v>
      </c>
      <c r="K87" s="988">
        <v>14637</v>
      </c>
    </row>
    <row r="88" spans="1:11" ht="30" x14ac:dyDescent="0.2">
      <c r="A88" s="978">
        <v>1</v>
      </c>
      <c r="B88" s="979" t="s">
        <v>1058</v>
      </c>
      <c r="C88" s="979" t="s">
        <v>1126</v>
      </c>
      <c r="D88" s="980">
        <v>2016633</v>
      </c>
      <c r="E88" s="980">
        <v>996000</v>
      </c>
      <c r="F88" s="979" t="s">
        <v>425</v>
      </c>
      <c r="G88" s="979" t="s">
        <v>425</v>
      </c>
      <c r="H88" s="981">
        <v>0.224</v>
      </c>
      <c r="I88" s="988">
        <v>16458</v>
      </c>
      <c r="J88" s="981">
        <v>0.224</v>
      </c>
      <c r="K88" s="988">
        <v>16458</v>
      </c>
    </row>
    <row r="89" spans="1:11" ht="30" x14ac:dyDescent="0.2">
      <c r="A89" s="978">
        <v>1</v>
      </c>
      <c r="B89" s="979" t="s">
        <v>1111</v>
      </c>
      <c r="C89" s="979" t="s">
        <v>1112</v>
      </c>
      <c r="D89" s="980">
        <v>2016799</v>
      </c>
      <c r="E89" s="980">
        <v>996000</v>
      </c>
      <c r="F89" s="979" t="s">
        <v>425</v>
      </c>
      <c r="G89" s="979" t="s">
        <v>425</v>
      </c>
      <c r="H89" s="981">
        <v>0.44</v>
      </c>
      <c r="I89" s="988">
        <v>48195</v>
      </c>
      <c r="J89" s="981">
        <v>0.44</v>
      </c>
      <c r="K89" s="988">
        <v>48195</v>
      </c>
    </row>
    <row r="90" spans="1:11" ht="15" x14ac:dyDescent="0.2">
      <c r="A90" s="978">
        <v>1</v>
      </c>
      <c r="B90" s="979" t="s">
        <v>943</v>
      </c>
      <c r="C90" s="979" t="s">
        <v>1016</v>
      </c>
      <c r="D90" s="980">
        <v>2016851</v>
      </c>
      <c r="E90" s="980">
        <v>996000</v>
      </c>
      <c r="F90" s="979" t="s">
        <v>425</v>
      </c>
      <c r="G90" s="979" t="s">
        <v>425</v>
      </c>
      <c r="H90" s="981">
        <v>0.40300000000000002</v>
      </c>
      <c r="I90" s="988">
        <v>49037</v>
      </c>
      <c r="J90" s="981">
        <v>0.40300000000000002</v>
      </c>
      <c r="K90" s="988">
        <v>49037</v>
      </c>
    </row>
    <row r="91" spans="1:11" ht="15" x14ac:dyDescent="0.2">
      <c r="A91" s="978">
        <v>1</v>
      </c>
      <c r="B91" s="979" t="s">
        <v>975</v>
      </c>
      <c r="C91" s="979" t="s">
        <v>996</v>
      </c>
      <c r="D91" s="980">
        <v>2016883</v>
      </c>
      <c r="E91" s="980">
        <v>996000</v>
      </c>
      <c r="F91" s="979" t="s">
        <v>425</v>
      </c>
      <c r="G91" s="979" t="s">
        <v>425</v>
      </c>
      <c r="H91" s="981">
        <v>0.45</v>
      </c>
      <c r="I91" s="988">
        <v>35014</v>
      </c>
      <c r="J91" s="981">
        <v>0.45</v>
      </c>
      <c r="K91" s="988">
        <v>35014</v>
      </c>
    </row>
    <row r="92" spans="1:11" ht="15" x14ac:dyDescent="0.2">
      <c r="A92" s="978">
        <v>1</v>
      </c>
      <c r="B92" s="979" t="s">
        <v>983</v>
      </c>
      <c r="C92" s="979" t="s">
        <v>1104</v>
      </c>
      <c r="D92" s="980">
        <v>2016962</v>
      </c>
      <c r="E92" s="980">
        <v>996000</v>
      </c>
      <c r="F92" s="979" t="s">
        <v>425</v>
      </c>
      <c r="G92" s="979" t="s">
        <v>425</v>
      </c>
      <c r="H92" s="981">
        <v>0.18</v>
      </c>
      <c r="I92" s="988">
        <v>83977</v>
      </c>
      <c r="J92" s="981">
        <v>0.18</v>
      </c>
      <c r="K92" s="988">
        <v>83977</v>
      </c>
    </row>
    <row r="93" spans="1:11" ht="15" x14ac:dyDescent="0.2">
      <c r="A93" s="978">
        <v>1</v>
      </c>
      <c r="B93" s="979" t="s">
        <v>951</v>
      </c>
      <c r="C93" s="979" t="s">
        <v>1131</v>
      </c>
      <c r="D93" s="980">
        <v>2016970</v>
      </c>
      <c r="E93" s="980">
        <v>996000</v>
      </c>
      <c r="F93" s="979" t="s">
        <v>425</v>
      </c>
      <c r="G93" s="979" t="s">
        <v>425</v>
      </c>
      <c r="H93" s="981">
        <v>0.27300000000000002</v>
      </c>
      <c r="I93" s="988">
        <v>23660</v>
      </c>
      <c r="J93" s="981">
        <v>0.27300000000000002</v>
      </c>
      <c r="K93" s="988">
        <v>23660</v>
      </c>
    </row>
    <row r="94" spans="1:11" ht="15" x14ac:dyDescent="0.2">
      <c r="A94" s="978">
        <v>1</v>
      </c>
      <c r="B94" s="979" t="s">
        <v>951</v>
      </c>
      <c r="C94" s="979" t="s">
        <v>952</v>
      </c>
      <c r="D94" s="980">
        <v>2016977</v>
      </c>
      <c r="E94" s="980">
        <v>996000</v>
      </c>
      <c r="F94" s="979" t="s">
        <v>425</v>
      </c>
      <c r="G94" s="979" t="s">
        <v>425</v>
      </c>
      <c r="H94" s="981">
        <v>0.46</v>
      </c>
      <c r="I94" s="982">
        <v>45787</v>
      </c>
      <c r="J94" s="981">
        <v>0.46</v>
      </c>
      <c r="K94" s="982">
        <v>45787</v>
      </c>
    </row>
    <row r="95" spans="1:11" ht="15" x14ac:dyDescent="0.2">
      <c r="A95" s="978">
        <v>1</v>
      </c>
      <c r="B95" s="979" t="s">
        <v>924</v>
      </c>
      <c r="C95" s="979" t="s">
        <v>1113</v>
      </c>
      <c r="D95" s="980">
        <v>2021112</v>
      </c>
      <c r="E95" s="980">
        <v>996000</v>
      </c>
      <c r="F95" s="979" t="s">
        <v>425</v>
      </c>
      <c r="G95" s="979" t="s">
        <v>425</v>
      </c>
      <c r="H95" s="981">
        <v>0.67</v>
      </c>
      <c r="I95" s="988">
        <v>73615</v>
      </c>
      <c r="J95" s="981">
        <v>0.67</v>
      </c>
      <c r="K95" s="988">
        <v>73615</v>
      </c>
    </row>
    <row r="96" spans="1:11" ht="15" x14ac:dyDescent="0.2">
      <c r="A96" s="978">
        <v>1</v>
      </c>
      <c r="B96" s="979" t="s">
        <v>924</v>
      </c>
      <c r="C96" s="979" t="s">
        <v>1114</v>
      </c>
      <c r="D96" s="980">
        <v>2021139</v>
      </c>
      <c r="E96" s="980">
        <v>996000</v>
      </c>
      <c r="F96" s="979" t="s">
        <v>425</v>
      </c>
      <c r="G96" s="979" t="s">
        <v>425</v>
      </c>
      <c r="H96" s="981">
        <v>0.32</v>
      </c>
      <c r="I96" s="988">
        <v>23324</v>
      </c>
      <c r="J96" s="981">
        <v>0.32</v>
      </c>
      <c r="K96" s="988">
        <v>23324</v>
      </c>
    </row>
    <row r="97" spans="1:11" ht="15" x14ac:dyDescent="0.2">
      <c r="A97" s="978">
        <v>1</v>
      </c>
      <c r="B97" s="979" t="s">
        <v>1068</v>
      </c>
      <c r="C97" s="979" t="s">
        <v>1125</v>
      </c>
      <c r="D97" s="980">
        <v>2021141</v>
      </c>
      <c r="E97" s="980">
        <v>996000</v>
      </c>
      <c r="F97" s="979" t="s">
        <v>425</v>
      </c>
      <c r="G97" s="979" t="s">
        <v>425</v>
      </c>
      <c r="H97" s="981">
        <v>0.67</v>
      </c>
      <c r="I97" s="988">
        <v>111533</v>
      </c>
      <c r="J97" s="981">
        <v>0.67</v>
      </c>
      <c r="K97" s="988">
        <v>111533</v>
      </c>
    </row>
    <row r="98" spans="1:11" ht="15" x14ac:dyDescent="0.2">
      <c r="A98" s="978">
        <v>1</v>
      </c>
      <c r="B98" s="979" t="s">
        <v>975</v>
      </c>
      <c r="C98" s="979" t="s">
        <v>1120</v>
      </c>
      <c r="D98" s="980">
        <v>2021217</v>
      </c>
      <c r="E98" s="980">
        <v>996000</v>
      </c>
      <c r="F98" s="979" t="s">
        <v>425</v>
      </c>
      <c r="G98" s="979" t="s">
        <v>425</v>
      </c>
      <c r="H98" s="981">
        <v>0.38700000000000001</v>
      </c>
      <c r="I98" s="988">
        <v>191296</v>
      </c>
      <c r="J98" s="981">
        <v>0.38700000000000001</v>
      </c>
      <c r="K98" s="988">
        <v>191296</v>
      </c>
    </row>
    <row r="99" spans="1:11" ht="15" x14ac:dyDescent="0.2">
      <c r="A99" s="978">
        <v>1</v>
      </c>
      <c r="B99" s="979" t="s">
        <v>928</v>
      </c>
      <c r="C99" s="979" t="s">
        <v>1102</v>
      </c>
      <c r="D99" s="980">
        <v>2021321</v>
      </c>
      <c r="E99" s="980">
        <v>996000</v>
      </c>
      <c r="F99" s="979" t="s">
        <v>425</v>
      </c>
      <c r="G99" s="979" t="s">
        <v>425</v>
      </c>
      <c r="H99" s="981">
        <v>0.192</v>
      </c>
      <c r="I99" s="988">
        <v>89582</v>
      </c>
      <c r="J99" s="981">
        <v>0.192</v>
      </c>
      <c r="K99" s="988">
        <v>89582</v>
      </c>
    </row>
    <row r="100" spans="1:11" ht="15" x14ac:dyDescent="0.2">
      <c r="A100" s="978">
        <v>1</v>
      </c>
      <c r="B100" s="979" t="s">
        <v>987</v>
      </c>
      <c r="C100" s="979" t="s">
        <v>1132</v>
      </c>
      <c r="D100" s="980">
        <v>2021340</v>
      </c>
      <c r="E100" s="980">
        <v>996000</v>
      </c>
      <c r="F100" s="979" t="s">
        <v>425</v>
      </c>
      <c r="G100" s="979" t="s">
        <v>425</v>
      </c>
      <c r="H100" s="981">
        <v>0.26800000000000002</v>
      </c>
      <c r="I100" s="988">
        <v>21533</v>
      </c>
      <c r="J100" s="981">
        <v>0.26800000000000002</v>
      </c>
      <c r="K100" s="988">
        <v>21533</v>
      </c>
    </row>
    <row r="101" spans="1:11" ht="15" x14ac:dyDescent="0.2">
      <c r="A101" s="978">
        <v>1</v>
      </c>
      <c r="B101" s="979" t="s">
        <v>975</v>
      </c>
      <c r="C101" s="979" t="s">
        <v>1121</v>
      </c>
      <c r="D101" s="980">
        <v>2021420</v>
      </c>
      <c r="E101" s="980">
        <v>996000</v>
      </c>
      <c r="F101" s="979" t="s">
        <v>425</v>
      </c>
      <c r="G101" s="979" t="s">
        <v>425</v>
      </c>
      <c r="H101" s="981">
        <v>0.2</v>
      </c>
      <c r="I101" s="988">
        <v>14156</v>
      </c>
      <c r="J101" s="981">
        <v>0.2</v>
      </c>
      <c r="K101" s="988">
        <v>14156</v>
      </c>
    </row>
    <row r="102" spans="1:11" ht="15" x14ac:dyDescent="0.2">
      <c r="A102" s="978">
        <v>1</v>
      </c>
      <c r="B102" s="979" t="s">
        <v>951</v>
      </c>
      <c r="C102" s="979" t="s">
        <v>1084</v>
      </c>
      <c r="D102" s="980">
        <v>2021475</v>
      </c>
      <c r="E102" s="980">
        <v>996000</v>
      </c>
      <c r="F102" s="979" t="s">
        <v>425</v>
      </c>
      <c r="G102" s="979" t="s">
        <v>425</v>
      </c>
      <c r="H102" s="981">
        <v>0.35199999999999998</v>
      </c>
      <c r="I102" s="988">
        <v>49521</v>
      </c>
      <c r="J102" s="981">
        <v>0.35199999999999998</v>
      </c>
      <c r="K102" s="988">
        <v>49521</v>
      </c>
    </row>
    <row r="103" spans="1:11" ht="15" x14ac:dyDescent="0.2">
      <c r="A103" s="978">
        <v>1</v>
      </c>
      <c r="B103" s="979" t="s">
        <v>951</v>
      </c>
      <c r="C103" s="979" t="s">
        <v>1130</v>
      </c>
      <c r="D103" s="980">
        <v>2021476</v>
      </c>
      <c r="E103" s="980">
        <v>996000</v>
      </c>
      <c r="F103" s="979" t="s">
        <v>425</v>
      </c>
      <c r="G103" s="979" t="s">
        <v>425</v>
      </c>
      <c r="H103" s="981">
        <v>0.27</v>
      </c>
      <c r="I103" s="988">
        <v>24273</v>
      </c>
      <c r="J103" s="981">
        <v>0.27</v>
      </c>
      <c r="K103" s="988">
        <v>24273</v>
      </c>
    </row>
    <row r="104" spans="1:11" ht="15" x14ac:dyDescent="0.2">
      <c r="A104" s="978">
        <v>1</v>
      </c>
      <c r="B104" s="979" t="s">
        <v>958</v>
      </c>
      <c r="C104" s="979" t="s">
        <v>1092</v>
      </c>
      <c r="D104" s="980">
        <v>2021542</v>
      </c>
      <c r="E104" s="980">
        <v>996000</v>
      </c>
      <c r="F104" s="979" t="s">
        <v>425</v>
      </c>
      <c r="G104" s="979" t="s">
        <v>425</v>
      </c>
      <c r="H104" s="981">
        <v>0.438</v>
      </c>
      <c r="I104" s="988">
        <v>36305</v>
      </c>
      <c r="J104" s="981">
        <v>0.438</v>
      </c>
      <c r="K104" s="988">
        <v>36305</v>
      </c>
    </row>
    <row r="105" spans="1:11" ht="15" x14ac:dyDescent="0.2">
      <c r="A105" s="978">
        <v>1</v>
      </c>
      <c r="B105" s="979" t="s">
        <v>958</v>
      </c>
      <c r="C105" s="979" t="s">
        <v>1093</v>
      </c>
      <c r="D105" s="980">
        <v>2021543</v>
      </c>
      <c r="E105" s="980">
        <v>996000</v>
      </c>
      <c r="F105" s="979" t="s">
        <v>425</v>
      </c>
      <c r="G105" s="979" t="s">
        <v>425</v>
      </c>
      <c r="H105" s="981">
        <v>0.33</v>
      </c>
      <c r="I105" s="988">
        <v>24143</v>
      </c>
      <c r="J105" s="981">
        <v>0.33</v>
      </c>
      <c r="K105" s="988">
        <v>24143</v>
      </c>
    </row>
    <row r="106" spans="1:11" ht="15" x14ac:dyDescent="0.2">
      <c r="A106" s="978">
        <v>1</v>
      </c>
      <c r="B106" s="979" t="s">
        <v>958</v>
      </c>
      <c r="C106" s="979" t="s">
        <v>1094</v>
      </c>
      <c r="D106" s="980">
        <v>2021588</v>
      </c>
      <c r="E106" s="980">
        <v>996000</v>
      </c>
      <c r="F106" s="979" t="s">
        <v>425</v>
      </c>
      <c r="G106" s="979" t="s">
        <v>425</v>
      </c>
      <c r="H106" s="981">
        <v>0.7</v>
      </c>
      <c r="I106" s="988">
        <v>315363</v>
      </c>
      <c r="J106" s="981">
        <v>0.7</v>
      </c>
      <c r="K106" s="988">
        <v>315363</v>
      </c>
    </row>
    <row r="107" spans="1:11" ht="15" x14ac:dyDescent="0.2">
      <c r="A107" s="978">
        <v>1</v>
      </c>
      <c r="B107" s="979" t="s">
        <v>983</v>
      </c>
      <c r="C107" s="979" t="s">
        <v>1105</v>
      </c>
      <c r="D107" s="980">
        <v>2021625</v>
      </c>
      <c r="E107" s="980">
        <v>996000</v>
      </c>
      <c r="F107" s="979" t="s">
        <v>425</v>
      </c>
      <c r="G107" s="979" t="s">
        <v>425</v>
      </c>
      <c r="H107" s="981">
        <v>0.4</v>
      </c>
      <c r="I107" s="988">
        <v>30067</v>
      </c>
      <c r="J107" s="981">
        <v>0.4</v>
      </c>
      <c r="K107" s="988">
        <v>30067</v>
      </c>
    </row>
    <row r="108" spans="1:11" ht="15" x14ac:dyDescent="0.2">
      <c r="A108" s="978">
        <v>1</v>
      </c>
      <c r="B108" s="979" t="s">
        <v>958</v>
      </c>
      <c r="C108" s="979" t="s">
        <v>1095</v>
      </c>
      <c r="D108" s="980">
        <v>2021917</v>
      </c>
      <c r="E108" s="980">
        <v>996000</v>
      </c>
      <c r="F108" s="979" t="s">
        <v>425</v>
      </c>
      <c r="G108" s="979" t="s">
        <v>425</v>
      </c>
      <c r="H108" s="981">
        <v>0.22800000000000001</v>
      </c>
      <c r="I108" s="988">
        <v>31386</v>
      </c>
      <c r="J108" s="981">
        <v>0.22800000000000001</v>
      </c>
      <c r="K108" s="988">
        <v>31386</v>
      </c>
    </row>
    <row r="109" spans="1:11" ht="15" x14ac:dyDescent="0.2">
      <c r="A109" s="978">
        <v>1</v>
      </c>
      <c r="B109" s="979" t="s">
        <v>951</v>
      </c>
      <c r="C109" s="979" t="s">
        <v>1019</v>
      </c>
      <c r="D109" s="980">
        <v>2021981</v>
      </c>
      <c r="E109" s="980">
        <v>996000</v>
      </c>
      <c r="F109" s="979" t="s">
        <v>425</v>
      </c>
      <c r="G109" s="979" t="s">
        <v>425</v>
      </c>
      <c r="H109" s="981">
        <v>0.56000000000000005</v>
      </c>
      <c r="I109" s="988">
        <v>51086</v>
      </c>
      <c r="J109" s="981">
        <v>0.56000000000000005</v>
      </c>
      <c r="K109" s="988">
        <v>51086</v>
      </c>
    </row>
    <row r="110" spans="1:11" ht="15" x14ac:dyDescent="0.2">
      <c r="A110" s="978">
        <v>1</v>
      </c>
      <c r="B110" s="979" t="s">
        <v>1123</v>
      </c>
      <c r="C110" s="979" t="s">
        <v>1384</v>
      </c>
      <c r="D110" s="980">
        <v>2049048</v>
      </c>
      <c r="E110" s="980">
        <v>996000</v>
      </c>
      <c r="F110" s="979" t="s">
        <v>425</v>
      </c>
      <c r="G110" s="979" t="s">
        <v>425</v>
      </c>
      <c r="H110" s="981">
        <v>0.16</v>
      </c>
      <c r="I110" s="988">
        <v>10518</v>
      </c>
      <c r="J110" s="981">
        <v>0.16</v>
      </c>
      <c r="K110" s="988">
        <v>10518</v>
      </c>
    </row>
    <row r="111" spans="1:11" ht="15" x14ac:dyDescent="0.2">
      <c r="A111" s="978">
        <v>1</v>
      </c>
      <c r="B111" s="979" t="s">
        <v>924</v>
      </c>
      <c r="C111" s="979" t="s">
        <v>1115</v>
      </c>
      <c r="D111" s="980">
        <v>2049080</v>
      </c>
      <c r="E111" s="980">
        <v>996000</v>
      </c>
      <c r="F111" s="979" t="s">
        <v>425</v>
      </c>
      <c r="G111" s="979" t="s">
        <v>425</v>
      </c>
      <c r="H111" s="981">
        <v>0.39700000000000002</v>
      </c>
      <c r="I111" s="988">
        <v>42701</v>
      </c>
      <c r="J111" s="981">
        <v>0.39700000000000002</v>
      </c>
      <c r="K111" s="988">
        <v>42701</v>
      </c>
    </row>
    <row r="112" spans="1:11" ht="15" x14ac:dyDescent="0.2">
      <c r="A112" s="978">
        <v>1</v>
      </c>
      <c r="B112" s="979" t="s">
        <v>1050</v>
      </c>
      <c r="C112" s="979" t="s">
        <v>1101</v>
      </c>
      <c r="D112" s="980">
        <v>2072913</v>
      </c>
      <c r="E112" s="980">
        <v>996000</v>
      </c>
      <c r="F112" s="979" t="s">
        <v>425</v>
      </c>
      <c r="G112" s="979" t="s">
        <v>425</v>
      </c>
      <c r="H112" s="981">
        <v>0.23</v>
      </c>
      <c r="I112" s="988">
        <v>15787</v>
      </c>
      <c r="J112" s="981">
        <v>0.23</v>
      </c>
      <c r="K112" s="988">
        <v>15787</v>
      </c>
    </row>
    <row r="113" spans="1:11" ht="15" x14ac:dyDescent="0.2">
      <c r="A113" s="978">
        <v>1</v>
      </c>
      <c r="B113" s="979" t="s">
        <v>958</v>
      </c>
      <c r="C113" s="979" t="s">
        <v>1096</v>
      </c>
      <c r="D113" s="980">
        <v>2104122</v>
      </c>
      <c r="E113" s="980">
        <v>996000</v>
      </c>
      <c r="F113" s="979" t="s">
        <v>425</v>
      </c>
      <c r="G113" s="979" t="s">
        <v>425</v>
      </c>
      <c r="H113" s="981">
        <v>0.24</v>
      </c>
      <c r="I113" s="988">
        <v>21232</v>
      </c>
      <c r="J113" s="981">
        <v>0.24</v>
      </c>
      <c r="K113" s="988">
        <v>21232</v>
      </c>
    </row>
    <row r="114" spans="1:11" ht="15" x14ac:dyDescent="0.2">
      <c r="A114" s="978">
        <v>1</v>
      </c>
      <c r="B114" s="979" t="s">
        <v>943</v>
      </c>
      <c r="C114" s="979" t="s">
        <v>1118</v>
      </c>
      <c r="D114" s="980">
        <v>2114913</v>
      </c>
      <c r="E114" s="980">
        <v>996000</v>
      </c>
      <c r="F114" s="979" t="s">
        <v>425</v>
      </c>
      <c r="G114" s="979" t="s">
        <v>425</v>
      </c>
      <c r="H114" s="981">
        <v>0.26200000000000001</v>
      </c>
      <c r="I114" s="988">
        <v>19797</v>
      </c>
      <c r="J114" s="981">
        <v>0.26200000000000001</v>
      </c>
      <c r="K114" s="988">
        <v>19797</v>
      </c>
    </row>
    <row r="115" spans="1:11" ht="15" x14ac:dyDescent="0.2">
      <c r="A115" s="978">
        <v>1</v>
      </c>
      <c r="B115" s="979" t="s">
        <v>948</v>
      </c>
      <c r="C115" s="979" t="s">
        <v>1006</v>
      </c>
      <c r="D115" s="980">
        <v>2346198</v>
      </c>
      <c r="E115" s="980">
        <v>996000</v>
      </c>
      <c r="F115" s="979" t="s">
        <v>425</v>
      </c>
      <c r="G115" s="979" t="s">
        <v>425</v>
      </c>
      <c r="H115" s="981">
        <v>0.5</v>
      </c>
      <c r="I115" s="982">
        <v>111862</v>
      </c>
      <c r="J115" s="981">
        <v>0.5</v>
      </c>
      <c r="K115" s="982">
        <v>111862</v>
      </c>
    </row>
    <row r="116" spans="1:11" ht="30" x14ac:dyDescent="0.2">
      <c r="A116" s="978">
        <v>1</v>
      </c>
      <c r="B116" s="979" t="s">
        <v>1098</v>
      </c>
      <c r="C116" s="979" t="s">
        <v>1100</v>
      </c>
      <c r="D116" s="980">
        <v>3529446</v>
      </c>
      <c r="E116" s="980">
        <v>996000</v>
      </c>
      <c r="F116" s="979" t="s">
        <v>425</v>
      </c>
      <c r="G116" s="979" t="s">
        <v>425</v>
      </c>
      <c r="H116" s="981">
        <v>0.32</v>
      </c>
      <c r="I116" s="988">
        <v>24046</v>
      </c>
      <c r="J116" s="981">
        <v>0.32</v>
      </c>
      <c r="K116" s="988">
        <v>24046</v>
      </c>
    </row>
    <row r="117" spans="1:11" ht="15" x14ac:dyDescent="0.2">
      <c r="A117" s="978">
        <v>1</v>
      </c>
      <c r="B117" s="979" t="s">
        <v>958</v>
      </c>
      <c r="C117" s="979" t="s">
        <v>1097</v>
      </c>
      <c r="D117" s="980">
        <v>3532972</v>
      </c>
      <c r="E117" s="980">
        <v>996000</v>
      </c>
      <c r="F117" s="979" t="s">
        <v>425</v>
      </c>
      <c r="G117" s="979" t="s">
        <v>425</v>
      </c>
      <c r="H117" s="981">
        <v>0.7</v>
      </c>
      <c r="I117" s="988">
        <v>169405</v>
      </c>
      <c r="J117" s="981">
        <v>0.7</v>
      </c>
      <c r="K117" s="988">
        <v>169405</v>
      </c>
    </row>
    <row r="118" spans="1:11" ht="15" x14ac:dyDescent="0.2">
      <c r="A118" s="978">
        <v>1</v>
      </c>
      <c r="B118" s="979" t="s">
        <v>975</v>
      </c>
      <c r="C118" s="979" t="s">
        <v>1122</v>
      </c>
      <c r="D118" s="980">
        <v>3533437</v>
      </c>
      <c r="E118" s="980">
        <v>996000</v>
      </c>
      <c r="F118" s="979" t="s">
        <v>425</v>
      </c>
      <c r="G118" s="979" t="s">
        <v>425</v>
      </c>
      <c r="H118" s="981">
        <v>0.433</v>
      </c>
      <c r="I118" s="988">
        <v>62384</v>
      </c>
      <c r="J118" s="981">
        <v>0.433</v>
      </c>
      <c r="K118" s="988">
        <v>62384</v>
      </c>
    </row>
    <row r="119" spans="1:11" ht="15" x14ac:dyDescent="0.2">
      <c r="A119" s="978">
        <v>1</v>
      </c>
      <c r="B119" s="979" t="s">
        <v>1135</v>
      </c>
      <c r="C119" s="979" t="s">
        <v>1136</v>
      </c>
      <c r="D119" s="980">
        <v>3547802</v>
      </c>
      <c r="E119" s="980">
        <v>996000</v>
      </c>
      <c r="F119" s="979" t="s">
        <v>425</v>
      </c>
      <c r="G119" s="979" t="s">
        <v>425</v>
      </c>
      <c r="H119" s="981">
        <v>0.33100000000000002</v>
      </c>
      <c r="I119" s="988">
        <v>29426</v>
      </c>
      <c r="J119" s="981">
        <v>0.33100000000000002</v>
      </c>
      <c r="K119" s="988">
        <v>29426</v>
      </c>
    </row>
    <row r="120" spans="1:11" ht="15" x14ac:dyDescent="0.2">
      <c r="A120" s="978">
        <v>1</v>
      </c>
      <c r="B120" s="979" t="s">
        <v>1071</v>
      </c>
      <c r="C120" s="979" t="s">
        <v>1077</v>
      </c>
      <c r="D120" s="980">
        <v>5043571</v>
      </c>
      <c r="E120" s="980">
        <v>996000</v>
      </c>
      <c r="F120" s="979" t="s">
        <v>425</v>
      </c>
      <c r="G120" s="979" t="s">
        <v>425</v>
      </c>
      <c r="H120" s="981">
        <v>0</v>
      </c>
      <c r="I120" s="983">
        <v>0</v>
      </c>
      <c r="J120" s="981">
        <v>0.6</v>
      </c>
      <c r="K120" s="983">
        <v>0</v>
      </c>
    </row>
    <row r="121" spans="1:11" ht="15" x14ac:dyDescent="0.2">
      <c r="A121" s="978">
        <v>1</v>
      </c>
      <c r="B121" s="979" t="s">
        <v>1137</v>
      </c>
      <c r="C121" s="979" t="s">
        <v>1138</v>
      </c>
      <c r="D121" s="980">
        <v>5049194</v>
      </c>
      <c r="E121" s="980">
        <v>996000</v>
      </c>
      <c r="F121" s="979" t="s">
        <v>425</v>
      </c>
      <c r="G121" s="979" t="s">
        <v>425</v>
      </c>
      <c r="H121" s="981">
        <v>0.4</v>
      </c>
      <c r="I121" s="988">
        <v>66172</v>
      </c>
      <c r="J121" s="981">
        <v>0.4</v>
      </c>
      <c r="K121" s="988">
        <v>66172</v>
      </c>
    </row>
    <row r="122" spans="1:11" ht="15" x14ac:dyDescent="0.2">
      <c r="A122" s="978">
        <v>1</v>
      </c>
      <c r="B122" s="979" t="s">
        <v>990</v>
      </c>
      <c r="C122" s="979" t="s">
        <v>1091</v>
      </c>
      <c r="D122" s="980">
        <v>5078583</v>
      </c>
      <c r="E122" s="980">
        <v>996000</v>
      </c>
      <c r="F122" s="979" t="s">
        <v>425</v>
      </c>
      <c r="G122" s="979" t="s">
        <v>425</v>
      </c>
      <c r="H122" s="981">
        <v>0.65</v>
      </c>
      <c r="I122" s="988">
        <v>43319</v>
      </c>
      <c r="J122" s="981">
        <v>0.65</v>
      </c>
      <c r="K122" s="988">
        <v>43319</v>
      </c>
    </row>
    <row r="123" spans="1:11" ht="15" x14ac:dyDescent="0.2">
      <c r="A123" s="978">
        <v>1</v>
      </c>
      <c r="B123" s="979" t="s">
        <v>1400</v>
      </c>
      <c r="C123" s="979" t="s">
        <v>1401</v>
      </c>
      <c r="D123" s="980">
        <v>5078925</v>
      </c>
      <c r="E123" s="980">
        <v>996000</v>
      </c>
      <c r="F123" s="979" t="s">
        <v>425</v>
      </c>
      <c r="G123" s="979" t="s">
        <v>425</v>
      </c>
      <c r="H123" s="981">
        <v>0</v>
      </c>
      <c r="I123" s="983">
        <v>0</v>
      </c>
      <c r="J123" s="981">
        <v>0.43</v>
      </c>
      <c r="K123" s="983">
        <v>0</v>
      </c>
    </row>
    <row r="124" spans="1:11" ht="15" x14ac:dyDescent="0.2">
      <c r="A124" s="978">
        <v>1</v>
      </c>
      <c r="B124" s="979" t="s">
        <v>1018</v>
      </c>
      <c r="C124" s="979" t="s">
        <v>979</v>
      </c>
      <c r="D124" s="980">
        <v>5091186</v>
      </c>
      <c r="E124" s="980">
        <v>996000</v>
      </c>
      <c r="F124" s="979" t="s">
        <v>425</v>
      </c>
      <c r="G124" s="979" t="s">
        <v>425</v>
      </c>
      <c r="H124" s="981">
        <v>0.13</v>
      </c>
      <c r="I124" s="982">
        <v>2733</v>
      </c>
      <c r="J124" s="981">
        <v>0.13</v>
      </c>
      <c r="K124" s="982">
        <v>2733</v>
      </c>
    </row>
    <row r="125" spans="1:11" ht="15" x14ac:dyDescent="0.2">
      <c r="A125" s="978">
        <v>1</v>
      </c>
      <c r="B125" s="979" t="s">
        <v>928</v>
      </c>
      <c r="C125" s="979" t="s">
        <v>1385</v>
      </c>
      <c r="D125" s="980">
        <v>5243431</v>
      </c>
      <c r="E125" s="980">
        <v>996000</v>
      </c>
      <c r="F125" s="979" t="s">
        <v>425</v>
      </c>
      <c r="G125" s="979" t="s">
        <v>425</v>
      </c>
      <c r="H125" s="981">
        <v>0.09</v>
      </c>
      <c r="I125" s="988">
        <v>5677</v>
      </c>
      <c r="J125" s="981">
        <v>0.09</v>
      </c>
      <c r="K125" s="988">
        <v>5677</v>
      </c>
    </row>
    <row r="126" spans="1:11" ht="15" x14ac:dyDescent="0.2">
      <c r="A126" s="978">
        <v>1</v>
      </c>
      <c r="B126" s="979" t="s">
        <v>987</v>
      </c>
      <c r="C126" s="979" t="s">
        <v>1133</v>
      </c>
      <c r="D126" s="980">
        <v>5250811</v>
      </c>
      <c r="E126" s="980">
        <v>996000</v>
      </c>
      <c r="F126" s="979" t="s">
        <v>425</v>
      </c>
      <c r="G126" s="979" t="s">
        <v>425</v>
      </c>
      <c r="H126" s="981">
        <v>0.26800000000000002</v>
      </c>
      <c r="I126" s="988">
        <v>19691</v>
      </c>
      <c r="J126" s="981">
        <v>0.26800000000000002</v>
      </c>
      <c r="K126" s="988">
        <v>19691</v>
      </c>
    </row>
    <row r="127" spans="1:11" ht="15" x14ac:dyDescent="0.2">
      <c r="A127" s="978">
        <v>1</v>
      </c>
      <c r="B127" s="979" t="s">
        <v>982</v>
      </c>
      <c r="C127" s="979" t="s">
        <v>990</v>
      </c>
      <c r="D127" s="980">
        <v>5250845</v>
      </c>
      <c r="E127" s="980">
        <v>996000</v>
      </c>
      <c r="F127" s="979" t="s">
        <v>425</v>
      </c>
      <c r="G127" s="979" t="s">
        <v>425</v>
      </c>
      <c r="H127" s="981">
        <v>0</v>
      </c>
      <c r="I127" s="983">
        <v>0</v>
      </c>
      <c r="J127" s="981">
        <v>0.33</v>
      </c>
      <c r="K127" s="983">
        <f>17955+18000</f>
        <v>35955</v>
      </c>
    </row>
    <row r="128" spans="1:11" ht="15" x14ac:dyDescent="0.2">
      <c r="A128" s="978">
        <v>1</v>
      </c>
      <c r="B128" s="979" t="s">
        <v>987</v>
      </c>
      <c r="C128" s="979" t="s">
        <v>1388</v>
      </c>
      <c r="D128" s="980">
        <v>5251624</v>
      </c>
      <c r="E128" s="980">
        <v>996000</v>
      </c>
      <c r="F128" s="979" t="s">
        <v>425</v>
      </c>
      <c r="G128" s="979" t="s">
        <v>425</v>
      </c>
      <c r="H128" s="981">
        <v>0.24</v>
      </c>
      <c r="I128" s="982">
        <v>16823</v>
      </c>
      <c r="J128" s="981">
        <v>0.24</v>
      </c>
      <c r="K128" s="982">
        <v>16823</v>
      </c>
    </row>
    <row r="129" spans="1:11" ht="15" x14ac:dyDescent="0.2">
      <c r="A129" s="978">
        <v>1</v>
      </c>
      <c r="B129" s="979" t="s">
        <v>928</v>
      </c>
      <c r="C129" s="979" t="s">
        <v>1071</v>
      </c>
      <c r="D129" s="980">
        <v>5440423</v>
      </c>
      <c r="E129" s="980">
        <v>996000</v>
      </c>
      <c r="F129" s="979" t="s">
        <v>425</v>
      </c>
      <c r="G129" s="979" t="s">
        <v>425</v>
      </c>
      <c r="H129" s="981">
        <v>0.63400000000000001</v>
      </c>
      <c r="I129" s="988">
        <v>64825</v>
      </c>
      <c r="J129" s="981">
        <v>0.63400000000000001</v>
      </c>
      <c r="K129" s="988">
        <v>64825</v>
      </c>
    </row>
    <row r="130" spans="1:11" ht="15" x14ac:dyDescent="0.2">
      <c r="A130" s="978">
        <v>1</v>
      </c>
      <c r="B130" s="979" t="s">
        <v>1022</v>
      </c>
      <c r="C130" s="979" t="s">
        <v>924</v>
      </c>
      <c r="D130" s="980">
        <v>5443083</v>
      </c>
      <c r="E130" s="980">
        <v>996000</v>
      </c>
      <c r="F130" s="979" t="s">
        <v>425</v>
      </c>
      <c r="G130" s="979" t="s">
        <v>425</v>
      </c>
      <c r="H130" s="981">
        <v>0</v>
      </c>
      <c r="I130" s="983">
        <v>0</v>
      </c>
      <c r="J130" s="981">
        <v>0.53</v>
      </c>
      <c r="K130" s="983">
        <f>134058+35000</f>
        <v>169058</v>
      </c>
    </row>
    <row r="131" spans="1:11" ht="15" x14ac:dyDescent="0.2">
      <c r="A131" s="978">
        <v>1</v>
      </c>
      <c r="B131" s="979" t="s">
        <v>983</v>
      </c>
      <c r="C131" s="979" t="s">
        <v>1106</v>
      </c>
      <c r="D131" s="980">
        <v>5481949</v>
      </c>
      <c r="E131" s="980">
        <v>996000</v>
      </c>
      <c r="F131" s="979" t="s">
        <v>425</v>
      </c>
      <c r="G131" s="979" t="s">
        <v>425</v>
      </c>
      <c r="H131" s="981">
        <v>0.65500000000000003</v>
      </c>
      <c r="I131" s="988">
        <v>79086</v>
      </c>
      <c r="J131" s="981">
        <v>0.65500000000000003</v>
      </c>
      <c r="K131" s="988">
        <v>79086</v>
      </c>
    </row>
    <row r="132" spans="1:11" ht="15" x14ac:dyDescent="0.2">
      <c r="A132" s="978">
        <v>1</v>
      </c>
      <c r="B132" s="979" t="s">
        <v>1127</v>
      </c>
      <c r="C132" s="979" t="s">
        <v>1129</v>
      </c>
      <c r="D132" s="980">
        <v>5515856</v>
      </c>
      <c r="E132" s="980">
        <v>996000</v>
      </c>
      <c r="F132" s="979" t="s">
        <v>425</v>
      </c>
      <c r="G132" s="979" t="s">
        <v>425</v>
      </c>
      <c r="H132" s="981">
        <v>0.61599999999999999</v>
      </c>
      <c r="I132" s="988">
        <v>62887</v>
      </c>
      <c r="J132" s="981">
        <v>0.61599999999999999</v>
      </c>
      <c r="K132" s="988">
        <v>62887</v>
      </c>
    </row>
    <row r="133" spans="1:11" ht="15" x14ac:dyDescent="0.2">
      <c r="A133" s="978">
        <v>1</v>
      </c>
      <c r="B133" s="979" t="s">
        <v>928</v>
      </c>
      <c r="C133" s="979" t="s">
        <v>1140</v>
      </c>
      <c r="D133" s="980">
        <v>5515992</v>
      </c>
      <c r="E133" s="980">
        <v>996000</v>
      </c>
      <c r="F133" s="979" t="s">
        <v>425</v>
      </c>
      <c r="G133" s="979" t="s">
        <v>425</v>
      </c>
      <c r="H133" s="981">
        <v>0.308</v>
      </c>
      <c r="I133" s="988">
        <v>59967</v>
      </c>
      <c r="J133" s="981">
        <v>0.308</v>
      </c>
      <c r="K133" s="988">
        <v>59967</v>
      </c>
    </row>
    <row r="134" spans="1:11" ht="15" x14ac:dyDescent="0.2">
      <c r="A134" s="978">
        <v>1</v>
      </c>
      <c r="B134" s="979" t="s">
        <v>1329</v>
      </c>
      <c r="C134" s="979" t="s">
        <v>1386</v>
      </c>
      <c r="D134" s="980">
        <v>5575110</v>
      </c>
      <c r="E134" s="980">
        <v>996000</v>
      </c>
      <c r="F134" s="979" t="s">
        <v>425</v>
      </c>
      <c r="G134" s="979" t="s">
        <v>425</v>
      </c>
      <c r="H134" s="981">
        <v>0.13</v>
      </c>
      <c r="I134" s="982">
        <v>9238</v>
      </c>
      <c r="J134" s="981">
        <v>0.13</v>
      </c>
      <c r="K134" s="982">
        <v>9238</v>
      </c>
    </row>
    <row r="135" spans="1:11" ht="15" x14ac:dyDescent="0.2">
      <c r="A135" s="978">
        <v>1</v>
      </c>
      <c r="B135" s="979" t="s">
        <v>943</v>
      </c>
      <c r="C135" s="979" t="s">
        <v>1085</v>
      </c>
      <c r="D135" s="980">
        <v>5575111</v>
      </c>
      <c r="E135" s="980">
        <v>996000</v>
      </c>
      <c r="F135" s="979" t="s">
        <v>425</v>
      </c>
      <c r="G135" s="979" t="s">
        <v>425</v>
      </c>
      <c r="H135" s="981">
        <v>0</v>
      </c>
      <c r="I135" s="983">
        <v>0</v>
      </c>
      <c r="J135" s="981">
        <v>0.37</v>
      </c>
      <c r="K135" s="983">
        <v>0</v>
      </c>
    </row>
    <row r="136" spans="1:11" ht="15" x14ac:dyDescent="0.2">
      <c r="A136" s="978">
        <v>1</v>
      </c>
      <c r="B136" s="979" t="s">
        <v>1035</v>
      </c>
      <c r="C136" s="979" t="s">
        <v>1391</v>
      </c>
      <c r="D136" s="980">
        <v>5581656</v>
      </c>
      <c r="E136" s="980">
        <v>996000</v>
      </c>
      <c r="F136" s="979" t="s">
        <v>425</v>
      </c>
      <c r="G136" s="979" t="s">
        <v>425</v>
      </c>
      <c r="H136" s="981">
        <v>0.67</v>
      </c>
      <c r="I136" s="982">
        <v>135079</v>
      </c>
      <c r="J136" s="981">
        <v>0.67</v>
      </c>
      <c r="K136" s="982">
        <v>135079</v>
      </c>
    </row>
    <row r="137" spans="1:11" ht="15" x14ac:dyDescent="0.2">
      <c r="A137" s="978">
        <v>1</v>
      </c>
      <c r="B137" s="979" t="s">
        <v>1088</v>
      </c>
      <c r="C137" s="979" t="s">
        <v>1087</v>
      </c>
      <c r="D137" s="980">
        <v>5625702</v>
      </c>
      <c r="E137" s="980">
        <v>996000</v>
      </c>
      <c r="F137" s="979" t="s">
        <v>425</v>
      </c>
      <c r="G137" s="979" t="s">
        <v>425</v>
      </c>
      <c r="H137" s="981">
        <v>0</v>
      </c>
      <c r="I137" s="983">
        <v>0</v>
      </c>
      <c r="J137" s="981">
        <v>0.5</v>
      </c>
      <c r="K137" s="983">
        <v>25000</v>
      </c>
    </row>
    <row r="138" spans="1:11" ht="15" x14ac:dyDescent="0.2">
      <c r="A138" s="978">
        <v>1</v>
      </c>
      <c r="B138" s="979" t="s">
        <v>1052</v>
      </c>
      <c r="C138" s="979" t="s">
        <v>1107</v>
      </c>
      <c r="D138" s="980">
        <v>5625907</v>
      </c>
      <c r="E138" s="980">
        <v>996000</v>
      </c>
      <c r="F138" s="979" t="s">
        <v>425</v>
      </c>
      <c r="G138" s="979" t="s">
        <v>425</v>
      </c>
      <c r="H138" s="981">
        <v>0.64</v>
      </c>
      <c r="I138" s="982">
        <v>120363</v>
      </c>
      <c r="J138" s="981">
        <v>0.64</v>
      </c>
      <c r="K138" s="982">
        <v>120363</v>
      </c>
    </row>
    <row r="139" spans="1:11" ht="15" x14ac:dyDescent="0.2">
      <c r="A139" s="978">
        <v>1</v>
      </c>
      <c r="B139" s="979" t="s">
        <v>1087</v>
      </c>
      <c r="C139" s="979" t="s">
        <v>1143</v>
      </c>
      <c r="D139" s="980">
        <v>5625919</v>
      </c>
      <c r="E139" s="980">
        <v>996000</v>
      </c>
      <c r="F139" s="979" t="s">
        <v>425</v>
      </c>
      <c r="G139" s="979" t="s">
        <v>425</v>
      </c>
      <c r="H139" s="981">
        <v>0.36499999999999999</v>
      </c>
      <c r="I139" s="988">
        <v>29523</v>
      </c>
      <c r="J139" s="981">
        <v>0.36499999999999999</v>
      </c>
      <c r="K139" s="988">
        <v>29523</v>
      </c>
    </row>
    <row r="140" spans="1:11" ht="15" x14ac:dyDescent="0.2">
      <c r="A140" s="978">
        <v>1</v>
      </c>
      <c r="B140" s="979" t="s">
        <v>1102</v>
      </c>
      <c r="C140" s="979" t="s">
        <v>1103</v>
      </c>
      <c r="D140" s="980">
        <v>5688038</v>
      </c>
      <c r="E140" s="980">
        <v>996000</v>
      </c>
      <c r="F140" s="979" t="s">
        <v>425</v>
      </c>
      <c r="G140" s="979" t="s">
        <v>425</v>
      </c>
      <c r="H140" s="981">
        <v>0.30499999999999999</v>
      </c>
      <c r="I140" s="988">
        <v>22759</v>
      </c>
      <c r="J140" s="981">
        <v>0.30499999999999999</v>
      </c>
      <c r="K140" s="988">
        <v>22759</v>
      </c>
    </row>
    <row r="141" spans="1:11" ht="15" x14ac:dyDescent="0.2">
      <c r="A141" s="978">
        <v>1</v>
      </c>
      <c r="B141" s="979" t="s">
        <v>1074</v>
      </c>
      <c r="C141" s="979" t="s">
        <v>956</v>
      </c>
      <c r="D141" s="980">
        <v>5688075</v>
      </c>
      <c r="E141" s="980">
        <v>996000</v>
      </c>
      <c r="F141" s="979" t="s">
        <v>425</v>
      </c>
      <c r="G141" s="979" t="s">
        <v>425</v>
      </c>
      <c r="H141" s="981">
        <v>0.47</v>
      </c>
      <c r="I141" s="988">
        <v>101840</v>
      </c>
      <c r="J141" s="981">
        <v>0.47</v>
      </c>
      <c r="K141" s="988">
        <v>101840</v>
      </c>
    </row>
    <row r="142" spans="1:11" ht="15" x14ac:dyDescent="0.2">
      <c r="A142" s="978">
        <v>1</v>
      </c>
      <c r="B142" s="979" t="s">
        <v>928</v>
      </c>
      <c r="C142" s="979" t="s">
        <v>1141</v>
      </c>
      <c r="D142" s="980">
        <v>5688223</v>
      </c>
      <c r="E142" s="980">
        <v>996000</v>
      </c>
      <c r="F142" s="979" t="s">
        <v>425</v>
      </c>
      <c r="G142" s="979" t="s">
        <v>425</v>
      </c>
      <c r="H142" s="981">
        <v>0.60299999999999998</v>
      </c>
      <c r="I142" s="988">
        <v>81708</v>
      </c>
      <c r="J142" s="981">
        <v>0.60299999999999998</v>
      </c>
      <c r="K142" s="988">
        <v>81708</v>
      </c>
    </row>
    <row r="143" spans="1:11" ht="15" x14ac:dyDescent="0.2">
      <c r="A143" s="978">
        <v>1</v>
      </c>
      <c r="B143" s="979" t="s">
        <v>1108</v>
      </c>
      <c r="C143" s="979" t="s">
        <v>1110</v>
      </c>
      <c r="D143" s="980">
        <v>5692217</v>
      </c>
      <c r="E143" s="980">
        <v>996000</v>
      </c>
      <c r="F143" s="979" t="s">
        <v>425</v>
      </c>
      <c r="G143" s="979" t="s">
        <v>425</v>
      </c>
      <c r="H143" s="981">
        <v>0.63</v>
      </c>
      <c r="I143" s="988">
        <v>56927</v>
      </c>
      <c r="J143" s="981">
        <v>0.63</v>
      </c>
      <c r="K143" s="988">
        <v>56927</v>
      </c>
    </row>
    <row r="144" spans="1:11" ht="15" x14ac:dyDescent="0.2">
      <c r="A144" s="978">
        <v>1</v>
      </c>
      <c r="B144" s="979" t="s">
        <v>1108</v>
      </c>
      <c r="C144" s="979" t="s">
        <v>1109</v>
      </c>
      <c r="D144" s="980">
        <v>5760050</v>
      </c>
      <c r="E144" s="980">
        <v>996000</v>
      </c>
      <c r="F144" s="979" t="s">
        <v>425</v>
      </c>
      <c r="G144" s="979" t="s">
        <v>425</v>
      </c>
      <c r="H144" s="981">
        <v>0.26</v>
      </c>
      <c r="I144" s="982">
        <v>20250</v>
      </c>
      <c r="J144" s="981">
        <v>0.26</v>
      </c>
      <c r="K144" s="982">
        <v>20250</v>
      </c>
    </row>
    <row r="145" spans="1:11" ht="15" x14ac:dyDescent="0.2">
      <c r="A145" s="978">
        <v>1</v>
      </c>
      <c r="B145" s="979" t="s">
        <v>1006</v>
      </c>
      <c r="C145" s="979" t="s">
        <v>1398</v>
      </c>
      <c r="D145" s="980">
        <v>5760408</v>
      </c>
      <c r="E145" s="980">
        <v>996000</v>
      </c>
      <c r="F145" s="979" t="s">
        <v>425</v>
      </c>
      <c r="G145" s="979" t="s">
        <v>425</v>
      </c>
      <c r="H145" s="981">
        <v>0</v>
      </c>
      <c r="I145" s="983">
        <v>0</v>
      </c>
      <c r="J145" s="981">
        <v>0.62</v>
      </c>
      <c r="K145" s="983">
        <v>0</v>
      </c>
    </row>
    <row r="146" spans="1:11" ht="15" x14ac:dyDescent="0.2">
      <c r="A146" s="978">
        <v>1</v>
      </c>
      <c r="B146" s="979" t="s">
        <v>967</v>
      </c>
      <c r="C146" s="979" t="s">
        <v>1397</v>
      </c>
      <c r="D146" s="980">
        <v>5763016</v>
      </c>
      <c r="E146" s="980">
        <v>996000</v>
      </c>
      <c r="F146" s="979" t="s">
        <v>425</v>
      </c>
      <c r="G146" s="979" t="s">
        <v>425</v>
      </c>
      <c r="H146" s="981">
        <v>0</v>
      </c>
      <c r="I146" s="983">
        <v>0</v>
      </c>
      <c r="J146" s="981">
        <v>0.54</v>
      </c>
      <c r="K146" s="983">
        <v>60000</v>
      </c>
    </row>
    <row r="147" spans="1:11" ht="15" x14ac:dyDescent="0.2">
      <c r="A147" s="978">
        <v>1</v>
      </c>
      <c r="B147" s="979" t="s">
        <v>948</v>
      </c>
      <c r="C147" s="979" t="s">
        <v>1389</v>
      </c>
      <c r="D147" s="980">
        <v>5818955</v>
      </c>
      <c r="E147" s="980">
        <v>996000</v>
      </c>
      <c r="F147" s="979" t="s">
        <v>425</v>
      </c>
      <c r="G147" s="979" t="s">
        <v>425</v>
      </c>
      <c r="H147" s="981">
        <v>0.25</v>
      </c>
      <c r="I147" s="982">
        <v>29592</v>
      </c>
      <c r="J147" s="981">
        <v>0.25</v>
      </c>
      <c r="K147" s="982">
        <v>29592</v>
      </c>
    </row>
    <row r="148" spans="1:11" ht="15" x14ac:dyDescent="0.2">
      <c r="A148" s="978">
        <v>1</v>
      </c>
      <c r="B148" s="979" t="s">
        <v>928</v>
      </c>
      <c r="C148" s="979" t="s">
        <v>1142</v>
      </c>
      <c r="D148" s="980">
        <v>5934536</v>
      </c>
      <c r="E148" s="980">
        <v>996000</v>
      </c>
      <c r="F148" s="979" t="s">
        <v>425</v>
      </c>
      <c r="G148" s="979" t="s">
        <v>425</v>
      </c>
      <c r="H148" s="981">
        <v>0.50700000000000001</v>
      </c>
      <c r="I148" s="988">
        <v>43830</v>
      </c>
      <c r="J148" s="981">
        <v>0.50700000000000001</v>
      </c>
      <c r="K148" s="988">
        <v>43830</v>
      </c>
    </row>
    <row r="149" spans="1:11" ht="15" x14ac:dyDescent="0.2">
      <c r="A149" s="978">
        <v>1</v>
      </c>
      <c r="B149" s="979" t="s">
        <v>1116</v>
      </c>
      <c r="C149" s="979" t="s">
        <v>1117</v>
      </c>
      <c r="D149" s="980">
        <v>5938514</v>
      </c>
      <c r="E149" s="980">
        <v>996000</v>
      </c>
      <c r="F149" s="979" t="s">
        <v>425</v>
      </c>
      <c r="G149" s="979" t="s">
        <v>425</v>
      </c>
      <c r="H149" s="981">
        <v>0.65</v>
      </c>
      <c r="I149" s="988">
        <v>70255</v>
      </c>
      <c r="J149" s="981">
        <v>0.65</v>
      </c>
      <c r="K149" s="988">
        <v>70255</v>
      </c>
    </row>
    <row r="150" spans="1:11" ht="15" x14ac:dyDescent="0.2">
      <c r="A150" s="978">
        <v>1</v>
      </c>
      <c r="B150" s="979" t="s">
        <v>955</v>
      </c>
      <c r="C150" s="979" t="s">
        <v>1387</v>
      </c>
      <c r="D150" s="980">
        <v>5954395</v>
      </c>
      <c r="E150" s="980">
        <v>996000</v>
      </c>
      <c r="F150" s="979" t="s">
        <v>425</v>
      </c>
      <c r="G150" s="979" t="s">
        <v>425</v>
      </c>
      <c r="H150" s="981">
        <v>0.51</v>
      </c>
      <c r="I150" s="982">
        <v>108567</v>
      </c>
      <c r="J150" s="981">
        <v>0.51</v>
      </c>
      <c r="K150" s="982">
        <v>108567</v>
      </c>
    </row>
    <row r="151" spans="1:11" ht="15" x14ac:dyDescent="0.2">
      <c r="A151" s="978">
        <v>1</v>
      </c>
      <c r="B151" s="979" t="s">
        <v>1084</v>
      </c>
      <c r="C151" s="979" t="s">
        <v>1399</v>
      </c>
      <c r="D151" s="980">
        <v>5987092</v>
      </c>
      <c r="E151" s="980">
        <v>996000</v>
      </c>
      <c r="F151" s="979" t="s">
        <v>425</v>
      </c>
      <c r="G151" s="979" t="s">
        <v>425</v>
      </c>
      <c r="H151" s="981">
        <v>0</v>
      </c>
      <c r="I151" s="983">
        <v>0</v>
      </c>
      <c r="J151" s="981">
        <v>0.5</v>
      </c>
      <c r="K151" s="983">
        <v>0</v>
      </c>
    </row>
    <row r="152" spans="1:11" ht="15" x14ac:dyDescent="0.2">
      <c r="A152" s="978">
        <v>1</v>
      </c>
      <c r="B152" s="979" t="s">
        <v>1390</v>
      </c>
      <c r="C152" s="979" t="s">
        <v>976</v>
      </c>
      <c r="D152" s="980">
        <v>5992863</v>
      </c>
      <c r="E152" s="980">
        <v>996000</v>
      </c>
      <c r="F152" s="979" t="s">
        <v>425</v>
      </c>
      <c r="G152" s="979" t="s">
        <v>425</v>
      </c>
      <c r="H152" s="981">
        <v>0.44</v>
      </c>
      <c r="I152" s="982">
        <v>317219</v>
      </c>
      <c r="J152" s="981">
        <v>0.44</v>
      </c>
      <c r="K152" s="982">
        <v>317219</v>
      </c>
    </row>
    <row r="153" spans="1:11" ht="15" x14ac:dyDescent="0.2">
      <c r="A153" s="978">
        <v>1</v>
      </c>
      <c r="B153" s="979" t="s">
        <v>987</v>
      </c>
      <c r="C153" s="979" t="s">
        <v>1134</v>
      </c>
      <c r="D153" s="980">
        <v>8099260</v>
      </c>
      <c r="E153" s="980">
        <v>996000</v>
      </c>
      <c r="F153" s="979" t="s">
        <v>425</v>
      </c>
      <c r="G153" s="979" t="s">
        <v>425</v>
      </c>
      <c r="H153" s="981">
        <v>0.29499999999999998</v>
      </c>
      <c r="I153" s="988">
        <v>23836</v>
      </c>
      <c r="J153" s="981">
        <v>0.29499999999999998</v>
      </c>
      <c r="K153" s="988">
        <v>23836</v>
      </c>
    </row>
    <row r="154" spans="1:11" ht="15" x14ac:dyDescent="0.2">
      <c r="A154" s="978">
        <v>1</v>
      </c>
      <c r="B154" s="979" t="s">
        <v>1392</v>
      </c>
      <c r="C154" s="979" t="s">
        <v>1051</v>
      </c>
      <c r="D154" s="980">
        <v>9999999</v>
      </c>
      <c r="E154" s="980">
        <v>996000</v>
      </c>
      <c r="F154" s="979" t="s">
        <v>425</v>
      </c>
      <c r="G154" s="979" t="s">
        <v>425</v>
      </c>
      <c r="H154" s="981">
        <v>0</v>
      </c>
      <c r="I154" s="983">
        <v>0</v>
      </c>
      <c r="J154" s="981">
        <v>0</v>
      </c>
      <c r="K154" s="983">
        <v>0</v>
      </c>
    </row>
    <row r="155" spans="1:11" ht="15" x14ac:dyDescent="0.2">
      <c r="A155" s="1468" t="s">
        <v>1404</v>
      </c>
      <c r="B155" s="1468"/>
      <c r="C155" s="1468"/>
      <c r="D155" s="1024"/>
      <c r="E155" s="1024"/>
      <c r="F155" s="1023"/>
      <c r="G155" s="1023"/>
      <c r="H155" s="1029">
        <f>SUM(H85:H143)</f>
        <v>20.761000000000003</v>
      </c>
      <c r="I155" s="1029">
        <f>SUM(I85:I154)</f>
        <v>3570052</v>
      </c>
      <c r="J155" s="1029">
        <f>SUM(J85:J154)</f>
        <v>28.093000000000011</v>
      </c>
      <c r="K155" s="1029">
        <f>SUM(K85:K154)</f>
        <v>3860065</v>
      </c>
    </row>
    <row r="156" spans="1:11" ht="18.75" x14ac:dyDescent="0.2">
      <c r="A156" s="1469" t="s">
        <v>1405</v>
      </c>
      <c r="B156" s="1469"/>
      <c r="C156" s="1469"/>
      <c r="D156" s="1469"/>
      <c r="E156" s="1469"/>
      <c r="F156" s="1469"/>
      <c r="G156" s="1061"/>
      <c r="H156" s="991">
        <f t="shared" ref="H156:I156" si="20">H3+H5+H7+H10+H19+H22+H25+H27+H32+H34+H36+H39+H41+H43+H49+H58+H60+H64+H66+H71+H77+H79+H84+H155</f>
        <v>63.411000000000001</v>
      </c>
      <c r="I156" s="991">
        <f t="shared" si="20"/>
        <v>9812901</v>
      </c>
      <c r="J156" s="992">
        <f>J3+J5+J7+J10+J19+J22+J25+J27+J32+J34+J36+J39+J41+J43+J49+J58+J60+J64+J66+J71+J77+J79+J84+J155+J45</f>
        <v>73.343000000000018</v>
      </c>
      <c r="K156" s="991">
        <f>K3+K5+K7+K10+K19+K22+K25+K27+K32+K34+K36+K39+K41+K43+K49+K58+K60+K64+K66+K71+K77+K79+K84+K155+K45</f>
        <v>10323260.416666666</v>
      </c>
    </row>
    <row r="157" spans="1:11" ht="30" x14ac:dyDescent="0.2">
      <c r="A157" s="978">
        <v>1</v>
      </c>
      <c r="B157" s="979" t="s">
        <v>1392</v>
      </c>
      <c r="C157" s="979" t="s">
        <v>1051</v>
      </c>
      <c r="D157" s="980">
        <v>9999999</v>
      </c>
      <c r="E157" s="980">
        <v>997000</v>
      </c>
      <c r="F157" s="979" t="s">
        <v>1778</v>
      </c>
      <c r="G157" s="979" t="s">
        <v>425</v>
      </c>
      <c r="H157" s="981">
        <v>0</v>
      </c>
      <c r="I157" s="983">
        <v>0</v>
      </c>
      <c r="J157" s="981">
        <v>0.5</v>
      </c>
      <c r="K157" s="983">
        <v>46000</v>
      </c>
    </row>
    <row r="158" spans="1:11" ht="30" x14ac:dyDescent="0.2">
      <c r="A158" s="978">
        <v>1</v>
      </c>
      <c r="B158" s="979" t="s">
        <v>1135</v>
      </c>
      <c r="C158" s="979" t="s">
        <v>1394</v>
      </c>
      <c r="D158" s="980">
        <v>2824491</v>
      </c>
      <c r="E158" s="980">
        <v>997000</v>
      </c>
      <c r="F158" s="979" t="s">
        <v>1778</v>
      </c>
      <c r="G158" s="979" t="s">
        <v>425</v>
      </c>
      <c r="H158" s="981">
        <v>0</v>
      </c>
      <c r="I158" s="983">
        <v>0</v>
      </c>
      <c r="J158" s="981">
        <v>0.35</v>
      </c>
      <c r="K158" s="983">
        <v>55002</v>
      </c>
    </row>
    <row r="159" spans="1:11" ht="30" x14ac:dyDescent="0.2">
      <c r="A159" s="978">
        <v>1</v>
      </c>
      <c r="B159" s="979" t="s">
        <v>967</v>
      </c>
      <c r="C159" s="979" t="s">
        <v>1397</v>
      </c>
      <c r="D159" s="980">
        <v>5763016</v>
      </c>
      <c r="E159" s="980">
        <v>997000</v>
      </c>
      <c r="F159" s="979" t="s">
        <v>1778</v>
      </c>
      <c r="G159" s="979" t="s">
        <v>425</v>
      </c>
      <c r="H159" s="981">
        <v>0</v>
      </c>
      <c r="I159" s="983">
        <v>0</v>
      </c>
      <c r="J159" s="981">
        <v>0.54</v>
      </c>
      <c r="K159" s="983">
        <v>98267</v>
      </c>
    </row>
    <row r="160" spans="1:11" ht="30" x14ac:dyDescent="0.2">
      <c r="A160" s="978">
        <v>1</v>
      </c>
      <c r="B160" s="979" t="s">
        <v>1006</v>
      </c>
      <c r="C160" s="979" t="s">
        <v>1398</v>
      </c>
      <c r="D160" s="980">
        <v>5760408</v>
      </c>
      <c r="E160" s="980">
        <v>997000</v>
      </c>
      <c r="F160" s="979" t="s">
        <v>1778</v>
      </c>
      <c r="G160" s="979" t="s">
        <v>425</v>
      </c>
      <c r="H160" s="981">
        <v>0</v>
      </c>
      <c r="I160" s="983">
        <v>0</v>
      </c>
      <c r="J160" s="981">
        <v>0</v>
      </c>
      <c r="K160" s="983">
        <v>0</v>
      </c>
    </row>
    <row r="161" spans="1:11" ht="30" x14ac:dyDescent="0.2">
      <c r="A161" s="978">
        <v>1</v>
      </c>
      <c r="B161" s="979" t="s">
        <v>1088</v>
      </c>
      <c r="C161" s="979" t="s">
        <v>1087</v>
      </c>
      <c r="D161" s="980">
        <v>5625702</v>
      </c>
      <c r="E161" s="980">
        <v>997000</v>
      </c>
      <c r="F161" s="979" t="s">
        <v>1778</v>
      </c>
      <c r="G161" s="979" t="s">
        <v>425</v>
      </c>
      <c r="H161" s="981">
        <v>0</v>
      </c>
      <c r="I161" s="983">
        <v>0</v>
      </c>
      <c r="J161" s="981">
        <v>0.6</v>
      </c>
      <c r="K161" s="983">
        <v>173159</v>
      </c>
    </row>
    <row r="162" spans="1:11" ht="30" x14ac:dyDescent="0.2">
      <c r="A162" s="978">
        <v>1</v>
      </c>
      <c r="B162" s="979" t="s">
        <v>1022</v>
      </c>
      <c r="C162" s="979" t="s">
        <v>924</v>
      </c>
      <c r="D162" s="980">
        <v>5443083</v>
      </c>
      <c r="E162" s="980">
        <v>997000</v>
      </c>
      <c r="F162" s="979" t="s">
        <v>1778</v>
      </c>
      <c r="G162" s="979" t="s">
        <v>425</v>
      </c>
      <c r="H162" s="981">
        <v>0</v>
      </c>
      <c r="I162" s="983">
        <v>0</v>
      </c>
      <c r="J162" s="981">
        <v>0.53</v>
      </c>
      <c r="K162" s="983">
        <v>275000</v>
      </c>
    </row>
    <row r="163" spans="1:11" ht="30" x14ac:dyDescent="0.2">
      <c r="A163" s="978">
        <v>1</v>
      </c>
      <c r="B163" s="979" t="s">
        <v>1400</v>
      </c>
      <c r="C163" s="979" t="s">
        <v>1401</v>
      </c>
      <c r="D163" s="980">
        <v>5078925</v>
      </c>
      <c r="E163" s="980">
        <v>997000</v>
      </c>
      <c r="F163" s="979" t="s">
        <v>1778</v>
      </c>
      <c r="G163" s="979" t="s">
        <v>425</v>
      </c>
      <c r="H163" s="981">
        <v>0</v>
      </c>
      <c r="I163" s="983">
        <v>0</v>
      </c>
      <c r="J163" s="981">
        <v>0.43</v>
      </c>
      <c r="K163" s="983">
        <v>85000</v>
      </c>
    </row>
    <row r="164" spans="1:11" ht="30" x14ac:dyDescent="0.2">
      <c r="A164" s="978">
        <v>1</v>
      </c>
      <c r="B164" s="979" t="s">
        <v>1071</v>
      </c>
      <c r="C164" s="979" t="s">
        <v>1077</v>
      </c>
      <c r="D164" s="980">
        <v>5043571</v>
      </c>
      <c r="E164" s="980">
        <v>997000</v>
      </c>
      <c r="F164" s="979" t="s">
        <v>1778</v>
      </c>
      <c r="G164" s="979" t="s">
        <v>425</v>
      </c>
      <c r="H164" s="981">
        <v>0</v>
      </c>
      <c r="I164" s="983">
        <v>0</v>
      </c>
      <c r="J164" s="981">
        <v>0.6</v>
      </c>
      <c r="K164" s="983">
        <v>39000</v>
      </c>
    </row>
    <row r="165" spans="1:11" ht="30" x14ac:dyDescent="0.2">
      <c r="A165" s="978">
        <v>1</v>
      </c>
      <c r="B165" s="979" t="s">
        <v>1776</v>
      </c>
      <c r="C165" s="979" t="s">
        <v>1777</v>
      </c>
      <c r="D165" s="980">
        <v>5239197</v>
      </c>
      <c r="E165" s="980">
        <v>997000</v>
      </c>
      <c r="F165" s="979" t="s">
        <v>1778</v>
      </c>
      <c r="G165" s="979" t="s">
        <v>425</v>
      </c>
      <c r="H165" s="981">
        <v>0</v>
      </c>
      <c r="I165" s="983">
        <v>0</v>
      </c>
      <c r="J165" s="981">
        <v>0</v>
      </c>
      <c r="K165" s="983">
        <v>80000</v>
      </c>
    </row>
    <row r="166" spans="1:11" ht="30" x14ac:dyDescent="0.2">
      <c r="A166" s="978">
        <v>1</v>
      </c>
      <c r="B166" s="979" t="s">
        <v>1079</v>
      </c>
      <c r="C166" s="979" t="s">
        <v>990</v>
      </c>
      <c r="D166" s="980">
        <v>5250834</v>
      </c>
      <c r="E166" s="980">
        <v>997000</v>
      </c>
      <c r="F166" s="979" t="s">
        <v>1778</v>
      </c>
      <c r="G166" s="979" t="s">
        <v>1393</v>
      </c>
      <c r="H166" s="981">
        <v>0</v>
      </c>
      <c r="I166" s="982">
        <v>0</v>
      </c>
      <c r="J166" s="981">
        <f>0.5*0.8</f>
        <v>0.4</v>
      </c>
      <c r="K166" s="982">
        <v>56374</v>
      </c>
    </row>
    <row r="167" spans="1:11" ht="30" x14ac:dyDescent="0.2">
      <c r="A167" s="978">
        <v>1</v>
      </c>
      <c r="B167" s="979" t="s">
        <v>982</v>
      </c>
      <c r="C167" s="979" t="s">
        <v>990</v>
      </c>
      <c r="D167" s="980">
        <v>5250845</v>
      </c>
      <c r="E167" s="980">
        <v>997000</v>
      </c>
      <c r="F167" s="979" t="s">
        <v>1778</v>
      </c>
      <c r="G167" s="979" t="s">
        <v>1393</v>
      </c>
      <c r="H167" s="981">
        <v>0</v>
      </c>
      <c r="I167" s="982">
        <v>0</v>
      </c>
      <c r="J167" s="981">
        <v>0.32</v>
      </c>
      <c r="K167" s="982">
        <v>53892</v>
      </c>
    </row>
    <row r="168" spans="1:11" ht="15" x14ac:dyDescent="0.2">
      <c r="A168" s="1464" t="s">
        <v>1779</v>
      </c>
      <c r="B168" s="1464"/>
      <c r="C168" s="1464"/>
      <c r="D168" s="980"/>
      <c r="E168" s="980"/>
      <c r="F168" s="979"/>
      <c r="G168" s="979"/>
      <c r="H168" s="989">
        <f>SUM(H157:H167)</f>
        <v>0</v>
      </c>
      <c r="I168" s="989">
        <f>SUM(I157:I167)</f>
        <v>0</v>
      </c>
      <c r="J168" s="989">
        <f>SUM(J157:J167)</f>
        <v>4.2700000000000005</v>
      </c>
      <c r="K168" s="993">
        <f>SUM(K157:K167)</f>
        <v>961694</v>
      </c>
    </row>
    <row r="169" spans="1:11" ht="38.25" x14ac:dyDescent="0.2">
      <c r="A169" s="534">
        <v>1</v>
      </c>
      <c r="B169" s="441" t="s">
        <v>924</v>
      </c>
      <c r="C169" s="441" t="s">
        <v>1022</v>
      </c>
      <c r="D169" s="442">
        <v>5443083</v>
      </c>
      <c r="E169" s="442">
        <v>811000</v>
      </c>
      <c r="F169" s="441" t="s">
        <v>130</v>
      </c>
      <c r="G169" s="441" t="s">
        <v>1416</v>
      </c>
      <c r="H169" s="468">
        <v>1</v>
      </c>
      <c r="I169" s="443">
        <v>257564</v>
      </c>
      <c r="J169" s="468">
        <v>1</v>
      </c>
      <c r="K169" s="443">
        <f>22000+60000</f>
        <v>82000</v>
      </c>
    </row>
    <row r="170" spans="1:11" x14ac:dyDescent="0.2">
      <c r="A170" s="534">
        <v>1</v>
      </c>
      <c r="B170" s="441" t="s">
        <v>1025</v>
      </c>
      <c r="C170" s="441" t="s">
        <v>1026</v>
      </c>
      <c r="D170" s="442">
        <v>2827928</v>
      </c>
      <c r="E170" s="442">
        <v>811000</v>
      </c>
      <c r="F170" s="441" t="s">
        <v>130</v>
      </c>
      <c r="G170" s="441" t="s">
        <v>1027</v>
      </c>
      <c r="H170" s="468">
        <v>1</v>
      </c>
      <c r="I170" s="443">
        <v>162838</v>
      </c>
      <c r="J170" s="468">
        <v>1</v>
      </c>
      <c r="K170" s="443">
        <v>160000</v>
      </c>
    </row>
    <row r="171" spans="1:11" ht="25.5" x14ac:dyDescent="0.2">
      <c r="A171" s="535">
        <v>1</v>
      </c>
      <c r="B171" s="374" t="s">
        <v>951</v>
      </c>
      <c r="C171" s="374" t="s">
        <v>1031</v>
      </c>
      <c r="D171" s="435">
        <v>4170918</v>
      </c>
      <c r="E171" s="435">
        <v>811000</v>
      </c>
      <c r="F171" s="374" t="s">
        <v>1417</v>
      </c>
      <c r="G171" s="374" t="s">
        <v>1418</v>
      </c>
      <c r="H171" s="466">
        <v>1</v>
      </c>
      <c r="I171" s="436">
        <v>77955</v>
      </c>
      <c r="J171" s="466">
        <v>1</v>
      </c>
      <c r="K171" s="436">
        <v>88000</v>
      </c>
    </row>
    <row r="172" spans="1:11" x14ac:dyDescent="0.2">
      <c r="A172" s="536"/>
      <c r="B172" s="537"/>
      <c r="C172" s="537"/>
      <c r="D172" s="537"/>
      <c r="E172" s="537"/>
      <c r="F172" s="537"/>
      <c r="G172" s="537"/>
      <c r="H172" s="789">
        <f>SUM(H169:H171)</f>
        <v>3</v>
      </c>
      <c r="I172" s="538">
        <f>SUM(I169:I171)</f>
        <v>498357</v>
      </c>
      <c r="J172" s="538">
        <f>SUM(J169:J171)</f>
        <v>3</v>
      </c>
      <c r="K172" s="538">
        <f>SUM(K169:K171)</f>
        <v>330000</v>
      </c>
    </row>
    <row r="173" spans="1:11" x14ac:dyDescent="0.2">
      <c r="A173" s="535">
        <v>1</v>
      </c>
      <c r="B173" s="374" t="s">
        <v>1419</v>
      </c>
      <c r="C173" s="374" t="s">
        <v>1420</v>
      </c>
      <c r="D173" s="806">
        <v>2346722</v>
      </c>
      <c r="E173" s="435">
        <v>812200</v>
      </c>
      <c r="F173" s="374" t="s">
        <v>1421</v>
      </c>
      <c r="G173" s="374" t="s">
        <v>1422</v>
      </c>
      <c r="H173" s="466">
        <v>0.83</v>
      </c>
      <c r="I173" s="438">
        <v>84784</v>
      </c>
      <c r="J173" s="466">
        <v>0.83</v>
      </c>
      <c r="K173" s="438">
        <v>84784</v>
      </c>
    </row>
    <row r="174" spans="1:11" x14ac:dyDescent="0.2">
      <c r="A174" s="535">
        <v>1</v>
      </c>
      <c r="B174" s="374" t="s">
        <v>1423</v>
      </c>
      <c r="C174" s="374" t="s">
        <v>1424</v>
      </c>
      <c r="D174" s="435">
        <v>2328691</v>
      </c>
      <c r="E174" s="435">
        <v>812200</v>
      </c>
      <c r="F174" s="374" t="s">
        <v>1421</v>
      </c>
      <c r="G174" s="374" t="s">
        <v>1422</v>
      </c>
      <c r="H174" s="466">
        <v>0.83</v>
      </c>
      <c r="I174" s="439">
        <v>97087</v>
      </c>
      <c r="J174" s="466">
        <v>0.83</v>
      </c>
      <c r="K174" s="439">
        <v>97087</v>
      </c>
    </row>
    <row r="175" spans="1:11" x14ac:dyDescent="0.2">
      <c r="A175" s="535">
        <v>1</v>
      </c>
      <c r="B175" s="374" t="s">
        <v>1448</v>
      </c>
      <c r="C175" s="374" t="s">
        <v>1449</v>
      </c>
      <c r="D175" s="435">
        <v>2616472</v>
      </c>
      <c r="E175" s="435">
        <v>812200</v>
      </c>
      <c r="F175" s="374" t="s">
        <v>1421</v>
      </c>
      <c r="G175" s="374" t="s">
        <v>1447</v>
      </c>
      <c r="H175" s="466">
        <v>0.83</v>
      </c>
      <c r="I175" s="439">
        <v>55634</v>
      </c>
      <c r="J175" s="466">
        <v>0.82</v>
      </c>
      <c r="K175" s="439">
        <v>55634</v>
      </c>
    </row>
    <row r="176" spans="1:11" x14ac:dyDescent="0.2">
      <c r="A176" s="535">
        <v>1</v>
      </c>
      <c r="B176" s="374" t="s">
        <v>1089</v>
      </c>
      <c r="C176" s="374" t="s">
        <v>1425</v>
      </c>
      <c r="D176" s="435">
        <v>2618870</v>
      </c>
      <c r="E176" s="435">
        <v>812200</v>
      </c>
      <c r="F176" s="374" t="s">
        <v>1421</v>
      </c>
      <c r="G176" s="374" t="s">
        <v>1422</v>
      </c>
      <c r="H176" s="466">
        <v>0.83</v>
      </c>
      <c r="I176" s="439">
        <v>80714</v>
      </c>
      <c r="J176" s="466">
        <v>0.83</v>
      </c>
      <c r="K176" s="439">
        <v>80714</v>
      </c>
    </row>
    <row r="177" spans="1:11" x14ac:dyDescent="0.2">
      <c r="A177" s="535">
        <v>1</v>
      </c>
      <c r="B177" s="374" t="s">
        <v>1135</v>
      </c>
      <c r="C177" s="374" t="s">
        <v>1426</v>
      </c>
      <c r="D177" s="435">
        <v>2823141</v>
      </c>
      <c r="E177" s="435">
        <v>812200</v>
      </c>
      <c r="F177" s="374" t="s">
        <v>1421</v>
      </c>
      <c r="G177" s="374" t="s">
        <v>1422</v>
      </c>
      <c r="H177" s="466">
        <v>0.83</v>
      </c>
      <c r="I177" s="439">
        <v>81310</v>
      </c>
      <c r="J177" s="466">
        <v>0.83</v>
      </c>
      <c r="K177" s="439">
        <v>81310</v>
      </c>
    </row>
    <row r="178" spans="1:11" x14ac:dyDescent="0.2">
      <c r="A178" s="535">
        <v>1</v>
      </c>
      <c r="B178" s="374" t="s">
        <v>1427</v>
      </c>
      <c r="C178" s="374" t="s">
        <v>1820</v>
      </c>
      <c r="D178" s="435">
        <v>2824458</v>
      </c>
      <c r="E178" s="435">
        <v>812200</v>
      </c>
      <c r="F178" s="374" t="s">
        <v>1421</v>
      </c>
      <c r="G178" s="374" t="s">
        <v>1422</v>
      </c>
      <c r="H178" s="466">
        <v>0.83</v>
      </c>
      <c r="I178" s="439">
        <v>94089</v>
      </c>
      <c r="J178" s="466">
        <v>0.83</v>
      </c>
      <c r="K178" s="439">
        <v>94089</v>
      </c>
    </row>
    <row r="179" spans="1:11" x14ac:dyDescent="0.2">
      <c r="A179" s="535">
        <v>1</v>
      </c>
      <c r="B179" s="374" t="s">
        <v>951</v>
      </c>
      <c r="C179" s="374" t="s">
        <v>1428</v>
      </c>
      <c r="D179" s="435">
        <v>2827538</v>
      </c>
      <c r="E179" s="435">
        <v>812200</v>
      </c>
      <c r="F179" s="374" t="s">
        <v>1421</v>
      </c>
      <c r="G179" s="374" t="s">
        <v>1422</v>
      </c>
      <c r="H179" s="466">
        <v>0.83</v>
      </c>
      <c r="I179" s="439">
        <v>100973</v>
      </c>
      <c r="J179" s="466">
        <v>0.83</v>
      </c>
      <c r="K179" s="439">
        <v>100973</v>
      </c>
    </row>
    <row r="180" spans="1:11" x14ac:dyDescent="0.2">
      <c r="A180" s="535">
        <v>1</v>
      </c>
      <c r="B180" s="374" t="s">
        <v>1052</v>
      </c>
      <c r="C180" s="374" t="s">
        <v>1429</v>
      </c>
      <c r="D180" s="435">
        <v>2921221</v>
      </c>
      <c r="E180" s="435">
        <v>812200</v>
      </c>
      <c r="F180" s="374" t="s">
        <v>1421</v>
      </c>
      <c r="G180" s="374" t="s">
        <v>1422</v>
      </c>
      <c r="H180" s="466">
        <v>0.83</v>
      </c>
      <c r="I180" s="439">
        <v>98970</v>
      </c>
      <c r="J180" s="466">
        <v>0.83</v>
      </c>
      <c r="K180" s="439">
        <v>98970</v>
      </c>
    </row>
    <row r="181" spans="1:11" x14ac:dyDescent="0.2">
      <c r="A181" s="535">
        <v>1</v>
      </c>
      <c r="B181" s="374" t="s">
        <v>1430</v>
      </c>
      <c r="C181" s="374" t="s">
        <v>1431</v>
      </c>
      <c r="D181" s="435">
        <v>2996880</v>
      </c>
      <c r="E181" s="435">
        <v>812200</v>
      </c>
      <c r="F181" s="374" t="s">
        <v>1421</v>
      </c>
      <c r="G181" s="374" t="s">
        <v>1422</v>
      </c>
      <c r="H181" s="466">
        <v>0.83</v>
      </c>
      <c r="I181" s="439">
        <v>76968</v>
      </c>
      <c r="J181" s="466">
        <v>0.83</v>
      </c>
      <c r="K181" s="439">
        <v>76968</v>
      </c>
    </row>
    <row r="182" spans="1:11" x14ac:dyDescent="0.2">
      <c r="A182" s="535">
        <v>19</v>
      </c>
      <c r="B182" s="374" t="s">
        <v>1045</v>
      </c>
      <c r="C182" s="374" t="s">
        <v>1445</v>
      </c>
      <c r="D182" s="435">
        <v>3292292</v>
      </c>
      <c r="E182" s="435">
        <v>812200</v>
      </c>
      <c r="F182" s="374" t="s">
        <v>1421</v>
      </c>
      <c r="G182" s="374" t="s">
        <v>1447</v>
      </c>
      <c r="H182" s="466">
        <f>35/42.5</f>
        <v>0.82352941176470584</v>
      </c>
      <c r="I182" s="439">
        <v>50438</v>
      </c>
      <c r="J182" s="466">
        <f>35/42.5</f>
        <v>0.82352941176470584</v>
      </c>
      <c r="K182" s="439">
        <v>50438</v>
      </c>
    </row>
    <row r="183" spans="1:11" x14ac:dyDescent="0.2">
      <c r="A183" s="994">
        <v>1</v>
      </c>
      <c r="B183" s="995" t="s">
        <v>924</v>
      </c>
      <c r="C183" s="995" t="s">
        <v>1105</v>
      </c>
      <c r="D183" s="996">
        <v>3443238</v>
      </c>
      <c r="E183" s="996">
        <v>812200</v>
      </c>
      <c r="F183" s="995" t="s">
        <v>1421</v>
      </c>
      <c r="G183" s="995" t="s">
        <v>1422</v>
      </c>
      <c r="H183" s="997">
        <v>0.83</v>
      </c>
      <c r="I183" s="998">
        <v>57554</v>
      </c>
      <c r="J183" s="997">
        <v>0.83</v>
      </c>
      <c r="K183" s="998">
        <v>57554</v>
      </c>
    </row>
    <row r="184" spans="1:11" x14ac:dyDescent="0.2">
      <c r="A184" s="994">
        <v>1</v>
      </c>
      <c r="B184" s="995" t="s">
        <v>1432</v>
      </c>
      <c r="C184" s="995" t="s">
        <v>1433</v>
      </c>
      <c r="D184" s="996">
        <v>3452404</v>
      </c>
      <c r="E184" s="996">
        <v>812200</v>
      </c>
      <c r="F184" s="995" t="s">
        <v>1421</v>
      </c>
      <c r="G184" s="995" t="s">
        <v>1422</v>
      </c>
      <c r="H184" s="997">
        <v>0.83</v>
      </c>
      <c r="I184" s="998">
        <v>99462</v>
      </c>
      <c r="J184" s="997">
        <v>0.83</v>
      </c>
      <c r="K184" s="998">
        <v>99462</v>
      </c>
    </row>
    <row r="185" spans="1:11" x14ac:dyDescent="0.2">
      <c r="A185" s="994">
        <v>1</v>
      </c>
      <c r="B185" s="995" t="s">
        <v>948</v>
      </c>
      <c r="C185" s="995" t="s">
        <v>1456</v>
      </c>
      <c r="D185" s="996">
        <v>3457700</v>
      </c>
      <c r="E185" s="996">
        <v>812200</v>
      </c>
      <c r="F185" s="995" t="s">
        <v>1421</v>
      </c>
      <c r="G185" s="995" t="s">
        <v>1447</v>
      </c>
      <c r="H185" s="997">
        <f>35/42.5</f>
        <v>0.82352941176470584</v>
      </c>
      <c r="I185" s="998">
        <v>33737</v>
      </c>
      <c r="J185" s="997">
        <f>35/42.5</f>
        <v>0.82352941176470584</v>
      </c>
      <c r="K185" s="998">
        <v>33737</v>
      </c>
    </row>
    <row r="186" spans="1:11" x14ac:dyDescent="0.2">
      <c r="A186" s="994">
        <v>1</v>
      </c>
      <c r="B186" s="995" t="s">
        <v>1434</v>
      </c>
      <c r="C186" s="995" t="s">
        <v>1435</v>
      </c>
      <c r="D186" s="996">
        <v>3644372</v>
      </c>
      <c r="E186" s="996">
        <v>812200</v>
      </c>
      <c r="F186" s="995" t="s">
        <v>1421</v>
      </c>
      <c r="G186" s="995" t="s">
        <v>1422</v>
      </c>
      <c r="H186" s="997">
        <v>0.83</v>
      </c>
      <c r="I186" s="998">
        <v>76590</v>
      </c>
      <c r="J186" s="997">
        <v>0.83</v>
      </c>
      <c r="K186" s="998">
        <v>76590</v>
      </c>
    </row>
    <row r="187" spans="1:11" x14ac:dyDescent="0.2">
      <c r="A187" s="994">
        <v>19</v>
      </c>
      <c r="B187" s="995" t="s">
        <v>1045</v>
      </c>
      <c r="C187" s="995" t="s">
        <v>1446</v>
      </c>
      <c r="D187" s="996">
        <v>3945702</v>
      </c>
      <c r="E187" s="996">
        <v>812200</v>
      </c>
      <c r="F187" s="995" t="s">
        <v>1421</v>
      </c>
      <c r="G187" s="995" t="s">
        <v>1468</v>
      </c>
      <c r="H187" s="997">
        <f>35/42.5</f>
        <v>0.82352941176470584</v>
      </c>
      <c r="I187" s="998">
        <v>38388</v>
      </c>
      <c r="J187" s="997">
        <f>35/42.5</f>
        <v>0.82352941176470584</v>
      </c>
      <c r="K187" s="998">
        <v>38388</v>
      </c>
    </row>
    <row r="188" spans="1:11" x14ac:dyDescent="0.2">
      <c r="A188" s="994">
        <v>1</v>
      </c>
      <c r="B188" s="995" t="s">
        <v>1116</v>
      </c>
      <c r="C188" s="995" t="s">
        <v>1453</v>
      </c>
      <c r="D188" s="996">
        <v>4052129</v>
      </c>
      <c r="E188" s="996">
        <v>812200</v>
      </c>
      <c r="F188" s="995" t="s">
        <v>1421</v>
      </c>
      <c r="G188" s="995" t="s">
        <v>1447</v>
      </c>
      <c r="H188" s="997">
        <f>35/42.5</f>
        <v>0.82352941176470584</v>
      </c>
      <c r="I188" s="998">
        <v>60095</v>
      </c>
      <c r="J188" s="997">
        <f>35/42.5</f>
        <v>0.82352941176470584</v>
      </c>
      <c r="K188" s="998">
        <v>60095</v>
      </c>
    </row>
    <row r="189" spans="1:11" x14ac:dyDescent="0.2">
      <c r="A189" s="994">
        <v>1</v>
      </c>
      <c r="B189" s="995" t="s">
        <v>1450</v>
      </c>
      <c r="C189" s="995" t="s">
        <v>1128</v>
      </c>
      <c r="D189" s="996">
        <v>4093593</v>
      </c>
      <c r="E189" s="996">
        <v>812200</v>
      </c>
      <c r="F189" s="995" t="s">
        <v>1421</v>
      </c>
      <c r="G189" s="995" t="s">
        <v>1447</v>
      </c>
      <c r="H189" s="997">
        <f>39/42.5</f>
        <v>0.91764705882352937</v>
      </c>
      <c r="I189" s="998">
        <v>26594</v>
      </c>
      <c r="J189" s="997">
        <v>0</v>
      </c>
      <c r="K189" s="998">
        <v>26594</v>
      </c>
    </row>
    <row r="190" spans="1:11" x14ac:dyDescent="0.2">
      <c r="A190" s="535">
        <v>1</v>
      </c>
      <c r="B190" s="374" t="s">
        <v>1436</v>
      </c>
      <c r="C190" s="374" t="s">
        <v>1437</v>
      </c>
      <c r="D190" s="435">
        <v>5371560</v>
      </c>
      <c r="E190" s="435">
        <v>812200</v>
      </c>
      <c r="F190" s="374" t="s">
        <v>1421</v>
      </c>
      <c r="G190" s="374" t="s">
        <v>1422</v>
      </c>
      <c r="H190" s="466">
        <v>0.83</v>
      </c>
      <c r="I190" s="439">
        <v>87434</v>
      </c>
      <c r="J190" s="466">
        <v>0.83</v>
      </c>
      <c r="K190" s="439">
        <v>87434</v>
      </c>
    </row>
    <row r="191" spans="1:11" x14ac:dyDescent="0.2">
      <c r="A191" s="535">
        <v>1</v>
      </c>
      <c r="B191" s="374" t="s">
        <v>1454</v>
      </c>
      <c r="C191" s="374" t="s">
        <v>1455</v>
      </c>
      <c r="D191" s="435">
        <v>5576214</v>
      </c>
      <c r="E191" s="435">
        <v>812200</v>
      </c>
      <c r="F191" s="374" t="s">
        <v>1421</v>
      </c>
      <c r="G191" s="374" t="s">
        <v>1447</v>
      </c>
      <c r="H191" s="466">
        <f>35/42.5</f>
        <v>0.82352941176470584</v>
      </c>
      <c r="I191" s="439">
        <v>58927</v>
      </c>
      <c r="J191" s="466">
        <f>35/42.5</f>
        <v>0.82352941176470584</v>
      </c>
      <c r="K191" s="439">
        <v>58927</v>
      </c>
    </row>
    <row r="192" spans="1:11" x14ac:dyDescent="0.2">
      <c r="A192" s="535">
        <v>1</v>
      </c>
      <c r="B192" s="374" t="s">
        <v>1438</v>
      </c>
      <c r="C192" s="374" t="s">
        <v>1439</v>
      </c>
      <c r="D192" s="435">
        <v>5631585</v>
      </c>
      <c r="E192" s="435">
        <v>812200</v>
      </c>
      <c r="F192" s="374" t="s">
        <v>1421</v>
      </c>
      <c r="G192" s="374" t="s">
        <v>1422</v>
      </c>
      <c r="H192" s="466">
        <v>0.83</v>
      </c>
      <c r="I192" s="439">
        <v>96740</v>
      </c>
      <c r="J192" s="466">
        <v>0.83</v>
      </c>
      <c r="K192" s="439">
        <v>96740</v>
      </c>
    </row>
    <row r="193" spans="1:11" x14ac:dyDescent="0.2">
      <c r="A193" s="535">
        <v>1</v>
      </c>
      <c r="B193" s="377" t="s">
        <v>1392</v>
      </c>
      <c r="C193" s="377" t="s">
        <v>1440</v>
      </c>
      <c r="D193" s="437">
        <v>5692004</v>
      </c>
      <c r="E193" s="437">
        <v>812200</v>
      </c>
      <c r="F193" s="374" t="s">
        <v>1421</v>
      </c>
      <c r="G193" s="374" t="s">
        <v>1422</v>
      </c>
      <c r="H193" s="467">
        <v>0.83</v>
      </c>
      <c r="I193" s="439">
        <v>86043</v>
      </c>
      <c r="J193" s="467">
        <v>0.83</v>
      </c>
      <c r="K193" s="439">
        <v>86043</v>
      </c>
    </row>
    <row r="194" spans="1:11" x14ac:dyDescent="0.2">
      <c r="A194" s="535">
        <v>1</v>
      </c>
      <c r="B194" s="377" t="s">
        <v>1441</v>
      </c>
      <c r="C194" s="377" t="s">
        <v>1442</v>
      </c>
      <c r="D194" s="437">
        <v>5698805</v>
      </c>
      <c r="E194" s="437">
        <v>812200</v>
      </c>
      <c r="F194" s="377" t="s">
        <v>1421</v>
      </c>
      <c r="G194" s="377" t="s">
        <v>1422</v>
      </c>
      <c r="H194" s="467">
        <v>0.83</v>
      </c>
      <c r="I194" s="439">
        <v>93716</v>
      </c>
      <c r="J194" s="467">
        <v>0.83</v>
      </c>
      <c r="K194" s="439">
        <v>93716</v>
      </c>
    </row>
    <row r="195" spans="1:11" x14ac:dyDescent="0.2">
      <c r="A195" s="535">
        <v>1</v>
      </c>
      <c r="B195" s="374" t="s">
        <v>955</v>
      </c>
      <c r="C195" s="374" t="s">
        <v>1110</v>
      </c>
      <c r="D195" s="435">
        <v>5854289</v>
      </c>
      <c r="E195" s="437">
        <v>812200</v>
      </c>
      <c r="F195" s="377" t="s">
        <v>1421</v>
      </c>
      <c r="G195" s="374" t="s">
        <v>1422</v>
      </c>
      <c r="H195" s="466">
        <v>0.83</v>
      </c>
      <c r="I195" s="439">
        <v>90269</v>
      </c>
      <c r="J195" s="466">
        <v>0.83</v>
      </c>
      <c r="K195" s="439">
        <v>90269</v>
      </c>
    </row>
    <row r="196" spans="1:11" x14ac:dyDescent="0.2">
      <c r="A196" s="535">
        <v>1</v>
      </c>
      <c r="B196" s="374" t="s">
        <v>924</v>
      </c>
      <c r="C196" s="374" t="s">
        <v>1444</v>
      </c>
      <c r="D196" s="435">
        <v>5859254</v>
      </c>
      <c r="E196" s="437">
        <v>812200</v>
      </c>
      <c r="F196" s="377" t="s">
        <v>1421</v>
      </c>
      <c r="G196" s="374" t="s">
        <v>1422</v>
      </c>
      <c r="H196" s="466">
        <v>0.83</v>
      </c>
      <c r="I196" s="439">
        <v>79638</v>
      </c>
      <c r="J196" s="466">
        <v>0.83</v>
      </c>
      <c r="K196" s="439">
        <v>79638</v>
      </c>
    </row>
    <row r="197" spans="1:11" x14ac:dyDescent="0.2">
      <c r="A197" s="535">
        <v>1</v>
      </c>
      <c r="B197" s="374" t="s">
        <v>983</v>
      </c>
      <c r="C197" s="374" t="s">
        <v>1443</v>
      </c>
      <c r="D197" s="435">
        <v>5931960</v>
      </c>
      <c r="E197" s="437">
        <v>812200</v>
      </c>
      <c r="F197" s="377" t="s">
        <v>1421</v>
      </c>
      <c r="G197" s="374" t="s">
        <v>1422</v>
      </c>
      <c r="H197" s="466">
        <v>0.83</v>
      </c>
      <c r="I197" s="439">
        <v>102262</v>
      </c>
      <c r="J197" s="466">
        <v>0.83</v>
      </c>
      <c r="K197" s="439">
        <v>102262</v>
      </c>
    </row>
    <row r="198" spans="1:11" x14ac:dyDescent="0.2">
      <c r="A198" s="535">
        <v>1</v>
      </c>
      <c r="B198" s="374" t="s">
        <v>1116</v>
      </c>
      <c r="C198" s="374" t="s">
        <v>1117</v>
      </c>
      <c r="D198" s="435">
        <v>5938514</v>
      </c>
      <c r="E198" s="437">
        <v>812200</v>
      </c>
      <c r="F198" s="377" t="s">
        <v>1421</v>
      </c>
      <c r="G198" s="374" t="s">
        <v>1447</v>
      </c>
      <c r="H198" s="466">
        <f>35/42.5</f>
        <v>0.82352941176470584</v>
      </c>
      <c r="I198" s="439">
        <v>7973</v>
      </c>
      <c r="J198" s="466">
        <f>35/42.5</f>
        <v>0.82352941176470584</v>
      </c>
      <c r="K198" s="439">
        <v>7973</v>
      </c>
    </row>
    <row r="199" spans="1:11" x14ac:dyDescent="0.2">
      <c r="A199" s="994">
        <v>1</v>
      </c>
      <c r="B199" s="995" t="s">
        <v>955</v>
      </c>
      <c r="C199" s="995" t="s">
        <v>1402</v>
      </c>
      <c r="D199" s="996">
        <v>25879008</v>
      </c>
      <c r="E199" s="999">
        <v>812200</v>
      </c>
      <c r="F199" s="1000" t="s">
        <v>1421</v>
      </c>
      <c r="G199" s="995" t="s">
        <v>1447</v>
      </c>
      <c r="H199" s="997">
        <f>37/42.5</f>
        <v>0.87058823529411766</v>
      </c>
      <c r="I199" s="998">
        <v>33486</v>
      </c>
      <c r="J199" s="997">
        <v>0</v>
      </c>
      <c r="K199" s="998">
        <v>0</v>
      </c>
    </row>
    <row r="200" spans="1:11" x14ac:dyDescent="0.2">
      <c r="A200" s="535">
        <v>1</v>
      </c>
      <c r="B200" s="374" t="s">
        <v>1451</v>
      </c>
      <c r="C200" s="374" t="s">
        <v>1452</v>
      </c>
      <c r="D200" s="806">
        <v>2643960</v>
      </c>
      <c r="E200" s="437">
        <v>812200</v>
      </c>
      <c r="F200" s="377" t="s">
        <v>1421</v>
      </c>
      <c r="G200" s="374" t="s">
        <v>1447</v>
      </c>
      <c r="H200" s="466">
        <f>35/42.5</f>
        <v>0.82352941176470584</v>
      </c>
      <c r="I200" s="439">
        <v>44574</v>
      </c>
      <c r="J200" s="466">
        <f>35/42.5</f>
        <v>0.82352941176470584</v>
      </c>
      <c r="K200" s="439">
        <v>44574</v>
      </c>
    </row>
    <row r="201" spans="1:11" ht="38.25" x14ac:dyDescent="0.2">
      <c r="A201" s="535">
        <v>1</v>
      </c>
      <c r="B201" s="374" t="s">
        <v>1399</v>
      </c>
      <c r="C201" s="374" t="s">
        <v>1465</v>
      </c>
      <c r="D201" s="435">
        <v>30305092</v>
      </c>
      <c r="E201" s="437">
        <v>812200</v>
      </c>
      <c r="F201" s="377" t="s">
        <v>1421</v>
      </c>
      <c r="G201" s="374" t="s">
        <v>1707</v>
      </c>
      <c r="H201" s="756">
        <v>0.52</v>
      </c>
      <c r="I201" s="439">
        <v>10429</v>
      </c>
      <c r="J201" s="466">
        <v>0.52</v>
      </c>
      <c r="K201" s="439">
        <v>45000</v>
      </c>
    </row>
    <row r="202" spans="1:11" x14ac:dyDescent="0.2">
      <c r="A202" s="539"/>
      <c r="B202" s="484"/>
      <c r="C202" s="484"/>
      <c r="D202" s="485"/>
      <c r="E202" s="485"/>
      <c r="F202" s="484"/>
      <c r="G202" s="484"/>
      <c r="H202" s="789">
        <f t="shared" ref="H202:K202" si="21">SUM(H173:H201)</f>
        <v>23.842941176470582</v>
      </c>
      <c r="I202" s="487">
        <f>SUM(I173:I201)</f>
        <v>2004878</v>
      </c>
      <c r="J202" s="932">
        <f t="shared" si="21"/>
        <v>22.044705882352936</v>
      </c>
      <c r="K202" s="487">
        <f t="shared" si="21"/>
        <v>2005963</v>
      </c>
    </row>
    <row r="203" spans="1:11" ht="25.5" x14ac:dyDescent="0.2">
      <c r="A203" s="535"/>
      <c r="B203" s="374" t="s">
        <v>951</v>
      </c>
      <c r="C203" s="374" t="s">
        <v>1828</v>
      </c>
      <c r="D203" s="435">
        <v>2597378</v>
      </c>
      <c r="E203" s="435">
        <v>812201</v>
      </c>
      <c r="F203" s="374" t="s">
        <v>1473</v>
      </c>
      <c r="G203" s="374" t="s">
        <v>1422</v>
      </c>
      <c r="H203" s="997">
        <v>0.22</v>
      </c>
      <c r="I203" s="998">
        <v>45352</v>
      </c>
      <c r="J203" s="997">
        <v>0.22</v>
      </c>
      <c r="K203" s="998">
        <v>48000</v>
      </c>
    </row>
    <row r="204" spans="1:11" ht="25.5" x14ac:dyDescent="0.2">
      <c r="A204" s="535">
        <v>1</v>
      </c>
      <c r="B204" s="374" t="s">
        <v>1794</v>
      </c>
      <c r="C204" s="374" t="s">
        <v>1795</v>
      </c>
      <c r="D204" s="435">
        <v>2656603</v>
      </c>
      <c r="E204" s="435">
        <v>812201</v>
      </c>
      <c r="F204" s="374" t="s">
        <v>1473</v>
      </c>
      <c r="G204" s="374" t="s">
        <v>1422</v>
      </c>
      <c r="H204" s="997">
        <v>0.22</v>
      </c>
      <c r="I204" s="998">
        <v>2706</v>
      </c>
      <c r="J204" s="997">
        <v>0.22</v>
      </c>
      <c r="K204" s="998">
        <v>30000</v>
      </c>
    </row>
    <row r="205" spans="1:11" ht="25.5" x14ac:dyDescent="0.2">
      <c r="A205" s="535">
        <v>1</v>
      </c>
      <c r="B205" s="374" t="s">
        <v>1436</v>
      </c>
      <c r="C205" s="374" t="s">
        <v>1458</v>
      </c>
      <c r="D205" s="435">
        <v>2750519</v>
      </c>
      <c r="E205" s="435">
        <v>812201</v>
      </c>
      <c r="F205" s="374" t="s">
        <v>1457</v>
      </c>
      <c r="G205" s="374" t="s">
        <v>1422</v>
      </c>
      <c r="H205" s="997">
        <f>18/42.5</f>
        <v>0.42352941176470588</v>
      </c>
      <c r="I205" s="998">
        <v>31791</v>
      </c>
      <c r="J205" s="997">
        <f>18/42.5</f>
        <v>0.42352941176470588</v>
      </c>
      <c r="K205" s="998">
        <v>32000</v>
      </c>
    </row>
    <row r="206" spans="1:11" ht="25.5" x14ac:dyDescent="0.2">
      <c r="A206" s="994">
        <v>1</v>
      </c>
      <c r="B206" s="995" t="s">
        <v>1438</v>
      </c>
      <c r="C206" s="995" t="s">
        <v>1461</v>
      </c>
      <c r="D206" s="996">
        <v>2996822</v>
      </c>
      <c r="E206" s="996">
        <v>812201</v>
      </c>
      <c r="F206" s="995" t="s">
        <v>1462</v>
      </c>
      <c r="G206" s="995" t="s">
        <v>1422</v>
      </c>
      <c r="H206" s="997">
        <f>30/42.5</f>
        <v>0.70588235294117652</v>
      </c>
      <c r="I206" s="998">
        <v>25612</v>
      </c>
      <c r="J206" s="997">
        <v>0</v>
      </c>
      <c r="K206" s="998">
        <v>0</v>
      </c>
    </row>
    <row r="207" spans="1:11" ht="25.5" x14ac:dyDescent="0.2">
      <c r="A207" s="535">
        <v>1</v>
      </c>
      <c r="B207" s="374" t="s">
        <v>1474</v>
      </c>
      <c r="C207" s="374" t="s">
        <v>1475</v>
      </c>
      <c r="D207" s="435">
        <v>3360162</v>
      </c>
      <c r="E207" s="435">
        <v>812201</v>
      </c>
      <c r="F207" s="374" t="s">
        <v>1471</v>
      </c>
      <c r="G207" s="374" t="s">
        <v>1422</v>
      </c>
      <c r="H207" s="997">
        <f>18/42.5</f>
        <v>0.42352941176470588</v>
      </c>
      <c r="I207" s="998">
        <v>30874</v>
      </c>
      <c r="J207" s="997">
        <f>18/42.5</f>
        <v>0.42352941176470588</v>
      </c>
      <c r="K207" s="998">
        <v>40000</v>
      </c>
    </row>
    <row r="208" spans="1:11" ht="25.5" x14ac:dyDescent="0.2">
      <c r="A208" s="535">
        <v>1</v>
      </c>
      <c r="B208" s="374" t="s">
        <v>1450</v>
      </c>
      <c r="C208" s="374" t="s">
        <v>1435</v>
      </c>
      <c r="D208" s="435">
        <v>3472828</v>
      </c>
      <c r="E208" s="435">
        <v>812201</v>
      </c>
      <c r="F208" s="374" t="s">
        <v>1473</v>
      </c>
      <c r="G208" s="374" t="s">
        <v>1422</v>
      </c>
      <c r="H208" s="997">
        <f>20/42.5</f>
        <v>0.47058823529411764</v>
      </c>
      <c r="I208" s="998">
        <v>23585</v>
      </c>
      <c r="J208" s="997">
        <f>20/42.5</f>
        <v>0.47058823529411764</v>
      </c>
      <c r="K208" s="998">
        <v>40000</v>
      </c>
    </row>
    <row r="209" spans="1:11" ht="25.5" x14ac:dyDescent="0.2">
      <c r="A209" s="535">
        <v>1</v>
      </c>
      <c r="B209" s="374" t="s">
        <v>1459</v>
      </c>
      <c r="C209" s="374" t="s">
        <v>1460</v>
      </c>
      <c r="D209" s="435">
        <v>5703154</v>
      </c>
      <c r="E209" s="435">
        <v>812201</v>
      </c>
      <c r="F209" s="374" t="s">
        <v>1457</v>
      </c>
      <c r="G209" s="374" t="s">
        <v>1422</v>
      </c>
      <c r="H209" s="997">
        <f>25/42.5</f>
        <v>0.58823529411764708</v>
      </c>
      <c r="I209" s="998">
        <v>32478</v>
      </c>
      <c r="J209" s="997">
        <v>0</v>
      </c>
      <c r="K209" s="998">
        <v>0</v>
      </c>
    </row>
    <row r="210" spans="1:11" ht="25.5" x14ac:dyDescent="0.2">
      <c r="A210" s="535">
        <v>1</v>
      </c>
      <c r="B210" s="374" t="s">
        <v>1430</v>
      </c>
      <c r="C210" s="374" t="s">
        <v>1431</v>
      </c>
      <c r="D210" s="435">
        <v>20440824</v>
      </c>
      <c r="E210" s="435">
        <v>812201</v>
      </c>
      <c r="F210" s="374" t="s">
        <v>1471</v>
      </c>
      <c r="G210" s="374" t="s">
        <v>1422</v>
      </c>
      <c r="H210" s="997">
        <f>18/42.5</f>
        <v>0.42352941176470588</v>
      </c>
      <c r="I210" s="998">
        <v>29225</v>
      </c>
      <c r="J210" s="997">
        <v>0</v>
      </c>
      <c r="K210" s="998">
        <v>0</v>
      </c>
    </row>
    <row r="211" spans="1:11" ht="25.5" x14ac:dyDescent="0.2">
      <c r="A211" s="535">
        <v>1</v>
      </c>
      <c r="B211" s="374" t="s">
        <v>1469</v>
      </c>
      <c r="C211" s="374" t="s">
        <v>1470</v>
      </c>
      <c r="D211" s="435">
        <v>20581909</v>
      </c>
      <c r="E211" s="435">
        <v>812201</v>
      </c>
      <c r="F211" s="374" t="s">
        <v>1471</v>
      </c>
      <c r="G211" s="374" t="s">
        <v>1422</v>
      </c>
      <c r="H211" s="997">
        <f>15/42.5</f>
        <v>0.35294117647058826</v>
      </c>
      <c r="I211" s="998">
        <v>40745</v>
      </c>
      <c r="J211" s="997">
        <f>15/42.5</f>
        <v>0.35294117647058826</v>
      </c>
      <c r="K211" s="998">
        <v>56000</v>
      </c>
    </row>
    <row r="212" spans="1:11" ht="25.5" x14ac:dyDescent="0.2">
      <c r="A212" s="535">
        <v>1</v>
      </c>
      <c r="B212" s="374" t="s">
        <v>1479</v>
      </c>
      <c r="C212" s="374" t="s">
        <v>1480</v>
      </c>
      <c r="D212" s="806">
        <v>2597635</v>
      </c>
      <c r="E212" s="435">
        <v>812201</v>
      </c>
      <c r="F212" s="374" t="s">
        <v>1478</v>
      </c>
      <c r="G212" s="374" t="s">
        <v>1422</v>
      </c>
      <c r="H212" s="997">
        <f>15/42.5</f>
        <v>0.35294117647058826</v>
      </c>
      <c r="I212" s="998">
        <v>44050</v>
      </c>
      <c r="J212" s="997">
        <f>15/42.5</f>
        <v>0.35294117647058826</v>
      </c>
      <c r="K212" s="998">
        <v>44050</v>
      </c>
    </row>
    <row r="213" spans="1:11" ht="25.5" x14ac:dyDescent="0.2">
      <c r="A213" s="535">
        <v>1</v>
      </c>
      <c r="B213" s="374" t="s">
        <v>1476</v>
      </c>
      <c r="C213" s="374" t="s">
        <v>1477</v>
      </c>
      <c r="D213" s="435">
        <v>30017481</v>
      </c>
      <c r="E213" s="435">
        <v>812201</v>
      </c>
      <c r="F213" s="374" t="s">
        <v>1471</v>
      </c>
      <c r="G213" s="374" t="s">
        <v>1422</v>
      </c>
      <c r="H213" s="997">
        <f>20/42.5</f>
        <v>0.47058823529411764</v>
      </c>
      <c r="I213" s="998">
        <v>26988</v>
      </c>
      <c r="J213" s="997">
        <f>20/42.5</f>
        <v>0.47058823529411764</v>
      </c>
      <c r="K213" s="998">
        <v>35000</v>
      </c>
    </row>
    <row r="214" spans="1:11" ht="25.5" x14ac:dyDescent="0.2">
      <c r="A214" s="535">
        <v>1</v>
      </c>
      <c r="B214" s="374" t="s">
        <v>1050</v>
      </c>
      <c r="C214" s="374" t="s">
        <v>1796</v>
      </c>
      <c r="D214" s="435">
        <v>30092629</v>
      </c>
      <c r="E214" s="435">
        <v>812201</v>
      </c>
      <c r="F214" s="374" t="s">
        <v>1473</v>
      </c>
      <c r="G214" s="374" t="s">
        <v>1422</v>
      </c>
      <c r="H214" s="997">
        <v>0.22</v>
      </c>
      <c r="I214" s="998">
        <v>0</v>
      </c>
      <c r="J214" s="997">
        <v>0.22</v>
      </c>
      <c r="K214" s="998">
        <v>2004</v>
      </c>
    </row>
    <row r="215" spans="1:11" ht="25.5" x14ac:dyDescent="0.2">
      <c r="A215" s="535">
        <v>1</v>
      </c>
      <c r="B215" s="374" t="s">
        <v>1135</v>
      </c>
      <c r="C215" s="374" t="s">
        <v>1463</v>
      </c>
      <c r="D215" s="435">
        <v>30172477</v>
      </c>
      <c r="E215" s="435">
        <v>812201</v>
      </c>
      <c r="F215" s="374" t="s">
        <v>1464</v>
      </c>
      <c r="G215" s="374" t="s">
        <v>1422</v>
      </c>
      <c r="H215" s="997">
        <f>16/42.5</f>
        <v>0.37647058823529411</v>
      </c>
      <c r="I215" s="998">
        <v>27646</v>
      </c>
      <c r="J215" s="997">
        <f>16/42.5</f>
        <v>0.37647058823529411</v>
      </c>
      <c r="K215" s="998">
        <v>30000</v>
      </c>
    </row>
    <row r="216" spans="1:11" ht="25.5" x14ac:dyDescent="0.2">
      <c r="A216" s="535">
        <v>1</v>
      </c>
      <c r="B216" s="374" t="s">
        <v>1430</v>
      </c>
      <c r="C216" s="374" t="s">
        <v>1472</v>
      </c>
      <c r="D216" s="435">
        <v>30265944</v>
      </c>
      <c r="E216" s="435">
        <v>812201</v>
      </c>
      <c r="F216" s="374" t="s">
        <v>1471</v>
      </c>
      <c r="G216" s="374" t="s">
        <v>1422</v>
      </c>
      <c r="H216" s="997">
        <f>20/42.5</f>
        <v>0.47058823529411764</v>
      </c>
      <c r="I216" s="998">
        <v>22796</v>
      </c>
      <c r="J216" s="997">
        <v>0</v>
      </c>
      <c r="K216" s="998">
        <v>0</v>
      </c>
    </row>
    <row r="217" spans="1:11" ht="25.5" x14ac:dyDescent="0.2">
      <c r="A217" s="535">
        <v>1</v>
      </c>
      <c r="B217" s="374" t="s">
        <v>1399</v>
      </c>
      <c r="C217" s="374" t="s">
        <v>1465</v>
      </c>
      <c r="D217" s="435">
        <v>30305092</v>
      </c>
      <c r="E217" s="435">
        <v>812201</v>
      </c>
      <c r="F217" s="374" t="s">
        <v>1466</v>
      </c>
      <c r="G217" s="374" t="s">
        <v>1422</v>
      </c>
      <c r="H217" s="997">
        <f>22/42.5</f>
        <v>0.51764705882352946</v>
      </c>
      <c r="I217" s="998">
        <v>27803</v>
      </c>
      <c r="J217" s="997">
        <v>0</v>
      </c>
      <c r="K217" s="998">
        <v>0</v>
      </c>
    </row>
    <row r="218" spans="1:11" ht="25.5" x14ac:dyDescent="0.2">
      <c r="A218" s="535">
        <v>1</v>
      </c>
      <c r="B218" s="374" t="s">
        <v>990</v>
      </c>
      <c r="C218" s="374" t="s">
        <v>1467</v>
      </c>
      <c r="D218" s="806">
        <v>4008443</v>
      </c>
      <c r="E218" s="435">
        <v>812201</v>
      </c>
      <c r="F218" s="374" t="s">
        <v>1466</v>
      </c>
      <c r="G218" s="374" t="s">
        <v>1468</v>
      </c>
      <c r="H218" s="997">
        <f>37/42.5</f>
        <v>0.87058823529411766</v>
      </c>
      <c r="I218" s="998">
        <v>23423</v>
      </c>
      <c r="J218" s="997">
        <v>0</v>
      </c>
      <c r="K218" s="998">
        <v>0</v>
      </c>
    </row>
    <row r="219" spans="1:11" ht="25.5" x14ac:dyDescent="0.2">
      <c r="A219" s="535">
        <v>1</v>
      </c>
      <c r="B219" s="374" t="s">
        <v>1087</v>
      </c>
      <c r="C219" s="374" t="s">
        <v>1793</v>
      </c>
      <c r="D219" s="435">
        <v>30305535</v>
      </c>
      <c r="E219" s="435">
        <v>812201</v>
      </c>
      <c r="F219" s="374" t="s">
        <v>1457</v>
      </c>
      <c r="G219" s="374" t="s">
        <v>1422</v>
      </c>
      <c r="H219" s="997">
        <v>0.2</v>
      </c>
      <c r="I219" s="998">
        <v>3435</v>
      </c>
      <c r="J219" s="997">
        <v>0.2</v>
      </c>
      <c r="K219" s="998">
        <v>35000</v>
      </c>
    </row>
    <row r="220" spans="1:11" ht="25.5" x14ac:dyDescent="0.2">
      <c r="A220" s="535">
        <v>1</v>
      </c>
      <c r="B220" s="374" t="s">
        <v>1829</v>
      </c>
      <c r="C220" s="374" t="s">
        <v>1624</v>
      </c>
      <c r="D220" s="435">
        <v>3570237</v>
      </c>
      <c r="E220" s="435">
        <v>812201</v>
      </c>
      <c r="F220" s="374" t="s">
        <v>1457</v>
      </c>
      <c r="G220" s="374" t="s">
        <v>1422</v>
      </c>
      <c r="H220" s="997">
        <v>0.2</v>
      </c>
      <c r="I220" s="998">
        <v>1697</v>
      </c>
      <c r="J220" s="997">
        <v>0.2</v>
      </c>
      <c r="K220" s="998">
        <v>18000</v>
      </c>
    </row>
    <row r="221" spans="1:11" ht="25.5" x14ac:dyDescent="0.2">
      <c r="A221" s="535">
        <v>1</v>
      </c>
      <c r="B221" s="374" t="s">
        <v>1438</v>
      </c>
      <c r="C221" s="374" t="s">
        <v>1453</v>
      </c>
      <c r="D221" s="435">
        <v>30802134</v>
      </c>
      <c r="E221" s="435">
        <v>812201</v>
      </c>
      <c r="F221" s="374" t="s">
        <v>1473</v>
      </c>
      <c r="G221" s="374" t="s">
        <v>1422</v>
      </c>
      <c r="H221" s="997">
        <v>0.22</v>
      </c>
      <c r="I221" s="998">
        <v>0</v>
      </c>
      <c r="J221" s="997">
        <v>0.22</v>
      </c>
      <c r="K221" s="998">
        <v>18000</v>
      </c>
    </row>
    <row r="222" spans="1:11" ht="25.5" x14ac:dyDescent="0.2">
      <c r="A222" s="535"/>
      <c r="B222" s="374" t="s">
        <v>1832</v>
      </c>
      <c r="C222" s="374" t="s">
        <v>1833</v>
      </c>
      <c r="D222" s="435">
        <v>9999999</v>
      </c>
      <c r="E222" s="435">
        <v>812201</v>
      </c>
      <c r="F222" s="374" t="s">
        <v>1473</v>
      </c>
      <c r="G222" s="374" t="s">
        <v>1422</v>
      </c>
      <c r="H222" s="997">
        <v>1.22</v>
      </c>
      <c r="I222" s="998">
        <f>2697+6097+5098+8153+2676</f>
        <v>24721</v>
      </c>
      <c r="J222" s="997">
        <v>1.22</v>
      </c>
      <c r="K222" s="998">
        <v>36000</v>
      </c>
    </row>
    <row r="223" spans="1:11" x14ac:dyDescent="0.2">
      <c r="A223" s="540" t="s">
        <v>1481</v>
      </c>
      <c r="B223" s="484"/>
      <c r="C223" s="484"/>
      <c r="D223" s="485"/>
      <c r="E223" s="485"/>
      <c r="F223" s="484"/>
      <c r="G223" s="484"/>
      <c r="H223" s="789">
        <f>SUM(H204:H221)</f>
        <v>7.5070588235294116</v>
      </c>
      <c r="I223" s="487">
        <f>SUM(I203:I222)</f>
        <v>464927</v>
      </c>
      <c r="J223" s="932">
        <f>SUM(J203:J222)</f>
        <v>5.3705882352941181</v>
      </c>
      <c r="K223" s="487">
        <f>SUM(K203:K222)</f>
        <v>464054</v>
      </c>
    </row>
    <row r="224" spans="1:11" ht="25.5" x14ac:dyDescent="0.2">
      <c r="A224" s="535">
        <v>1</v>
      </c>
      <c r="B224" s="374" t="s">
        <v>1482</v>
      </c>
      <c r="C224" s="374" t="s">
        <v>758</v>
      </c>
      <c r="D224" s="435">
        <v>1789630</v>
      </c>
      <c r="E224" s="435">
        <v>812202</v>
      </c>
      <c r="F224" s="374" t="s">
        <v>1483</v>
      </c>
      <c r="G224" s="374" t="s">
        <v>1484</v>
      </c>
      <c r="H224" s="466" t="s">
        <v>942</v>
      </c>
      <c r="I224" s="439">
        <f>136100-I225-I226</f>
        <v>101364</v>
      </c>
      <c r="J224" s="466" t="s">
        <v>942</v>
      </c>
      <c r="K224" s="439">
        <v>40000</v>
      </c>
    </row>
    <row r="225" spans="1:11" ht="25.5" x14ac:dyDescent="0.2">
      <c r="A225" s="535">
        <v>1</v>
      </c>
      <c r="B225" s="374" t="s">
        <v>1045</v>
      </c>
      <c r="C225" s="374" t="s">
        <v>1830</v>
      </c>
      <c r="D225" s="435">
        <v>30292548</v>
      </c>
      <c r="E225" s="435">
        <v>812202</v>
      </c>
      <c r="F225" s="374" t="s">
        <v>1483</v>
      </c>
      <c r="G225" s="374" t="s">
        <v>1484</v>
      </c>
      <c r="H225" s="466" t="s">
        <v>942</v>
      </c>
      <c r="I225" s="439">
        <v>5369</v>
      </c>
      <c r="J225" s="466" t="s">
        <v>942</v>
      </c>
      <c r="K225" s="439">
        <v>62100</v>
      </c>
    </row>
    <row r="226" spans="1:11" ht="25.5" x14ac:dyDescent="0.2">
      <c r="A226" s="535">
        <v>1</v>
      </c>
      <c r="B226" s="374" t="s">
        <v>1052</v>
      </c>
      <c r="C226" s="374" t="s">
        <v>1485</v>
      </c>
      <c r="D226" s="435">
        <v>30169548</v>
      </c>
      <c r="E226" s="435">
        <v>812202</v>
      </c>
      <c r="F226" s="374" t="s">
        <v>1483</v>
      </c>
      <c r="G226" s="374" t="s">
        <v>1484</v>
      </c>
      <c r="H226" s="466" t="s">
        <v>942</v>
      </c>
      <c r="I226" s="439">
        <v>29367</v>
      </c>
      <c r="J226" s="466" t="s">
        <v>942</v>
      </c>
      <c r="K226" s="439">
        <v>34000</v>
      </c>
    </row>
    <row r="227" spans="1:11" x14ac:dyDescent="0.2">
      <c r="A227" s="540" t="s">
        <v>1486</v>
      </c>
      <c r="B227" s="484"/>
      <c r="C227" s="484"/>
      <c r="D227" s="485"/>
      <c r="E227" s="485"/>
      <c r="F227" s="484"/>
      <c r="G227" s="484"/>
      <c r="H227" s="486"/>
      <c r="I227" s="487">
        <f>SUM(I224:I226)</f>
        <v>136100</v>
      </c>
      <c r="J227" s="487"/>
      <c r="K227" s="487">
        <f t="shared" ref="K227" si="22">SUM(K224:K226)</f>
        <v>136100</v>
      </c>
    </row>
    <row r="228" spans="1:11" ht="38.25" x14ac:dyDescent="0.2">
      <c r="A228" s="535">
        <v>1</v>
      </c>
      <c r="B228" s="374" t="s">
        <v>1487</v>
      </c>
      <c r="C228" s="374" t="s">
        <v>1458</v>
      </c>
      <c r="D228" s="435">
        <v>2310370</v>
      </c>
      <c r="E228" s="435">
        <v>812203</v>
      </c>
      <c r="F228" s="374" t="s">
        <v>1488</v>
      </c>
      <c r="G228" s="374" t="s">
        <v>1489</v>
      </c>
      <c r="H228" s="466">
        <v>0.83</v>
      </c>
      <c r="I228" s="439">
        <v>86094</v>
      </c>
      <c r="J228" s="466">
        <v>0.83</v>
      </c>
      <c r="K228" s="439">
        <v>82000</v>
      </c>
    </row>
    <row r="229" spans="1:11" ht="38.25" x14ac:dyDescent="0.2">
      <c r="A229" s="535">
        <v>1</v>
      </c>
      <c r="B229" s="374" t="s">
        <v>924</v>
      </c>
      <c r="C229" s="374" t="s">
        <v>1490</v>
      </c>
      <c r="D229" s="435">
        <v>3599882</v>
      </c>
      <c r="E229" s="435">
        <v>812203</v>
      </c>
      <c r="F229" s="374" t="s">
        <v>1488</v>
      </c>
      <c r="G229" s="374" t="s">
        <v>1489</v>
      </c>
      <c r="H229" s="466">
        <v>0.85</v>
      </c>
      <c r="I229" s="439">
        <v>86590</v>
      </c>
      <c r="J229" s="466">
        <v>0.85</v>
      </c>
      <c r="K229" s="439">
        <v>90000</v>
      </c>
    </row>
    <row r="230" spans="1:11" ht="38.25" x14ac:dyDescent="0.2">
      <c r="A230" s="535"/>
      <c r="B230" s="374" t="s">
        <v>1564</v>
      </c>
      <c r="C230" s="374" t="s">
        <v>1565</v>
      </c>
      <c r="D230" s="440">
        <v>5944677</v>
      </c>
      <c r="E230" s="435">
        <v>813300</v>
      </c>
      <c r="F230" s="374" t="s">
        <v>1488</v>
      </c>
      <c r="G230" s="374" t="s">
        <v>1489</v>
      </c>
      <c r="H230" s="466">
        <f>35/42.5</f>
        <v>0.82352941176470584</v>
      </c>
      <c r="I230" s="439">
        <v>9598</v>
      </c>
      <c r="J230" s="466">
        <v>0.82</v>
      </c>
      <c r="K230" s="439">
        <v>60000</v>
      </c>
    </row>
    <row r="231" spans="1:11" ht="38.25" x14ac:dyDescent="0.2">
      <c r="A231" s="535">
        <v>1</v>
      </c>
      <c r="B231" s="995" t="s">
        <v>1479</v>
      </c>
      <c r="C231" s="995" t="s">
        <v>1574</v>
      </c>
      <c r="D231" s="996">
        <v>30993795</v>
      </c>
      <c r="E231" s="996">
        <v>812203</v>
      </c>
      <c r="F231" s="995" t="s">
        <v>1488</v>
      </c>
      <c r="G231" s="995" t="s">
        <v>1708</v>
      </c>
      <c r="H231" s="997">
        <f>30/42.5</f>
        <v>0.70588235294117652</v>
      </c>
      <c r="I231" s="998">
        <v>0</v>
      </c>
      <c r="J231" s="997">
        <f>30/42.5</f>
        <v>0.70588235294117652</v>
      </c>
      <c r="K231" s="998">
        <v>40000</v>
      </c>
    </row>
    <row r="232" spans="1:11" ht="38.25" x14ac:dyDescent="0.2">
      <c r="A232" s="535">
        <v>1</v>
      </c>
      <c r="B232" s="995" t="s">
        <v>948</v>
      </c>
      <c r="C232" s="995" t="s">
        <v>1491</v>
      </c>
      <c r="D232" s="996">
        <v>1153750</v>
      </c>
      <c r="E232" s="996">
        <v>812203</v>
      </c>
      <c r="F232" s="995" t="s">
        <v>1488</v>
      </c>
      <c r="G232" s="995" t="s">
        <v>1708</v>
      </c>
      <c r="H232" s="997">
        <f>30/42.5</f>
        <v>0.70588235294117652</v>
      </c>
      <c r="I232" s="998">
        <v>39536</v>
      </c>
      <c r="J232" s="997">
        <f>30/42.5</f>
        <v>0.70588235294117652</v>
      </c>
      <c r="K232" s="998">
        <v>40000</v>
      </c>
    </row>
    <row r="233" spans="1:11" ht="38.25" x14ac:dyDescent="0.2">
      <c r="A233" s="535"/>
      <c r="B233" s="995" t="s">
        <v>924</v>
      </c>
      <c r="C233" s="995" t="s">
        <v>1834</v>
      </c>
      <c r="D233" s="996">
        <v>30993795</v>
      </c>
      <c r="E233" s="996">
        <v>812204</v>
      </c>
      <c r="F233" s="995" t="s">
        <v>1488</v>
      </c>
      <c r="G233" s="995"/>
      <c r="H233" s="997"/>
      <c r="I233" s="998">
        <v>23994</v>
      </c>
      <c r="J233" s="997">
        <v>0</v>
      </c>
      <c r="K233" s="998">
        <v>0</v>
      </c>
    </row>
    <row r="234" spans="1:11" ht="38.25" x14ac:dyDescent="0.2">
      <c r="A234" s="535"/>
      <c r="B234" s="995" t="s">
        <v>1835</v>
      </c>
      <c r="C234" s="995" t="s">
        <v>1836</v>
      </c>
      <c r="D234" s="996">
        <v>32164064</v>
      </c>
      <c r="E234" s="996">
        <v>812204</v>
      </c>
      <c r="F234" s="995" t="s">
        <v>1488</v>
      </c>
      <c r="G234" s="995"/>
      <c r="H234" s="997"/>
      <c r="I234" s="998">
        <v>14533</v>
      </c>
      <c r="J234" s="997"/>
      <c r="K234" s="998">
        <v>0</v>
      </c>
    </row>
    <row r="235" spans="1:11" ht="38.25" x14ac:dyDescent="0.2">
      <c r="A235" s="535">
        <v>1</v>
      </c>
      <c r="B235" s="995" t="s">
        <v>1709</v>
      </c>
      <c r="C235" s="995" t="s">
        <v>1710</v>
      </c>
      <c r="D235" s="996">
        <v>2597378</v>
      </c>
      <c r="E235" s="996">
        <v>812203</v>
      </c>
      <c r="F235" s="995" t="s">
        <v>1488</v>
      </c>
      <c r="G235" s="995" t="s">
        <v>1708</v>
      </c>
      <c r="H235" s="997">
        <f>30/42.5</f>
        <v>0.70588235294117652</v>
      </c>
      <c r="I235" s="1001">
        <v>0</v>
      </c>
      <c r="J235" s="997">
        <f>30/42.5</f>
        <v>0.70588235294117652</v>
      </c>
      <c r="K235" s="1001">
        <v>40000</v>
      </c>
    </row>
    <row r="236" spans="1:11" x14ac:dyDescent="0.2">
      <c r="A236" s="540" t="s">
        <v>1493</v>
      </c>
      <c r="B236" s="484"/>
      <c r="C236" s="484"/>
      <c r="D236" s="485"/>
      <c r="E236" s="485"/>
      <c r="F236" s="484"/>
      <c r="G236" s="484"/>
      <c r="H236" s="790">
        <f t="shared" ref="H236:K236" si="23">SUM(H228:H235)</f>
        <v>4.6211764705882352</v>
      </c>
      <c r="I236" s="487">
        <f t="shared" si="23"/>
        <v>260345</v>
      </c>
      <c r="J236" s="932">
        <f t="shared" si="23"/>
        <v>4.6176470588235299</v>
      </c>
      <c r="K236" s="487">
        <f t="shared" si="23"/>
        <v>352000</v>
      </c>
    </row>
    <row r="237" spans="1:11" ht="25.5" x14ac:dyDescent="0.2">
      <c r="A237" s="535">
        <v>1</v>
      </c>
      <c r="B237" s="374" t="s">
        <v>1331</v>
      </c>
      <c r="C237" s="435" t="s">
        <v>1453</v>
      </c>
      <c r="D237" s="435">
        <v>3117724</v>
      </c>
      <c r="E237" s="435">
        <v>812502</v>
      </c>
      <c r="F237" s="374" t="s">
        <v>1494</v>
      </c>
      <c r="G237" s="374" t="s">
        <v>1495</v>
      </c>
      <c r="H237" s="466">
        <f>15/42.5</f>
        <v>0.35294117647058826</v>
      </c>
      <c r="I237" s="465">
        <v>50000</v>
      </c>
      <c r="J237" s="466">
        <f>15/42.5</f>
        <v>0.35294117647058826</v>
      </c>
      <c r="K237" s="465">
        <v>50000</v>
      </c>
    </row>
    <row r="238" spans="1:11" ht="25.5" x14ac:dyDescent="0.2">
      <c r="A238" s="535">
        <v>1</v>
      </c>
      <c r="B238" s="374" t="s">
        <v>1111</v>
      </c>
      <c r="C238" s="374" t="s">
        <v>1496</v>
      </c>
      <c r="D238" s="435">
        <v>2999412</v>
      </c>
      <c r="E238" s="435">
        <v>812502</v>
      </c>
      <c r="F238" s="374" t="s">
        <v>1494</v>
      </c>
      <c r="G238" s="374" t="s">
        <v>1495</v>
      </c>
      <c r="H238" s="466">
        <f>40/42.5</f>
        <v>0.94117647058823528</v>
      </c>
      <c r="I238" s="439">
        <v>42000</v>
      </c>
      <c r="J238" s="466">
        <f>40/42.5</f>
        <v>0.94117647058823528</v>
      </c>
      <c r="K238" s="439">
        <v>42000</v>
      </c>
    </row>
    <row r="239" spans="1:11" ht="25.5" x14ac:dyDescent="0.2">
      <c r="A239" s="535">
        <v>1</v>
      </c>
      <c r="B239" s="374" t="s">
        <v>975</v>
      </c>
      <c r="C239" s="374" t="s">
        <v>1497</v>
      </c>
      <c r="D239" s="435">
        <v>2751317</v>
      </c>
      <c r="E239" s="435">
        <v>812502</v>
      </c>
      <c r="F239" s="374" t="s">
        <v>1494</v>
      </c>
      <c r="G239" s="374" t="s">
        <v>1495</v>
      </c>
      <c r="H239" s="466" t="s">
        <v>1510</v>
      </c>
      <c r="I239" s="439">
        <v>32000</v>
      </c>
      <c r="J239" s="466" t="s">
        <v>1510</v>
      </c>
      <c r="K239" s="439">
        <v>32000</v>
      </c>
    </row>
    <row r="240" spans="1:11" ht="25.5" x14ac:dyDescent="0.2">
      <c r="A240" s="535">
        <v>1</v>
      </c>
      <c r="B240" s="374" t="s">
        <v>1331</v>
      </c>
      <c r="C240" s="374" t="s">
        <v>1831</v>
      </c>
      <c r="D240" s="435">
        <v>20376327</v>
      </c>
      <c r="E240" s="435">
        <v>812502</v>
      </c>
      <c r="F240" s="374" t="s">
        <v>1494</v>
      </c>
      <c r="G240" s="374" t="s">
        <v>1495</v>
      </c>
      <c r="H240" s="466">
        <f>20/42.5</f>
        <v>0.47058823529411764</v>
      </c>
      <c r="I240" s="439">
        <v>20000</v>
      </c>
      <c r="J240" s="466">
        <v>0.47</v>
      </c>
      <c r="K240" s="439">
        <v>20000</v>
      </c>
    </row>
    <row r="241" spans="1:11" x14ac:dyDescent="0.2">
      <c r="A241" s="540" t="s">
        <v>1500</v>
      </c>
      <c r="B241" s="484"/>
      <c r="C241" s="484"/>
      <c r="D241" s="485"/>
      <c r="E241" s="485"/>
      <c r="F241" s="484"/>
      <c r="G241" s="484"/>
      <c r="H241" s="486"/>
      <c r="I241" s="488">
        <f>SUM(I237:I240)</f>
        <v>144000</v>
      </c>
      <c r="J241" s="933">
        <f>SUM(J237:J240)</f>
        <v>1.7641176470588236</v>
      </c>
      <c r="K241" s="488">
        <f t="shared" ref="K241" si="24">SUM(K237:K240)</f>
        <v>144000</v>
      </c>
    </row>
    <row r="242" spans="1:11" ht="25.5" x14ac:dyDescent="0.2">
      <c r="A242" s="535">
        <v>1</v>
      </c>
      <c r="B242" s="374" t="s">
        <v>1403</v>
      </c>
      <c r="C242" s="374" t="s">
        <v>1501</v>
      </c>
      <c r="D242" s="435">
        <v>99999999</v>
      </c>
      <c r="E242" s="435">
        <v>812512</v>
      </c>
      <c r="F242" s="374" t="s">
        <v>1200</v>
      </c>
      <c r="G242" s="374" t="s">
        <v>1495</v>
      </c>
      <c r="H242" s="466" t="s">
        <v>942</v>
      </c>
      <c r="I242" s="439">
        <v>86000</v>
      </c>
      <c r="J242" s="466" t="s">
        <v>942</v>
      </c>
      <c r="K242" s="439">
        <v>106000</v>
      </c>
    </row>
    <row r="243" spans="1:11" ht="25.5" x14ac:dyDescent="0.2">
      <c r="A243" s="535">
        <v>1</v>
      </c>
      <c r="B243" s="374" t="s">
        <v>1438</v>
      </c>
      <c r="C243" s="374" t="s">
        <v>1502</v>
      </c>
      <c r="D243" s="435">
        <v>30266159</v>
      </c>
      <c r="E243" s="435">
        <v>812512</v>
      </c>
      <c r="F243" s="374" t="s">
        <v>1200</v>
      </c>
      <c r="G243" s="374" t="s">
        <v>1495</v>
      </c>
      <c r="H243" s="466" t="s">
        <v>942</v>
      </c>
      <c r="I243" s="439">
        <v>24000</v>
      </c>
      <c r="J243" s="466" t="s">
        <v>942</v>
      </c>
      <c r="K243" s="439">
        <v>24000</v>
      </c>
    </row>
    <row r="244" spans="1:11" x14ac:dyDescent="0.2">
      <c r="A244" s="540" t="s">
        <v>1503</v>
      </c>
      <c r="B244" s="484"/>
      <c r="C244" s="484"/>
      <c r="D244" s="485"/>
      <c r="E244" s="485"/>
      <c r="F244" s="484"/>
      <c r="G244" s="484"/>
      <c r="H244" s="486"/>
      <c r="I244" s="487">
        <f>SUM(I242:I243)</f>
        <v>110000</v>
      </c>
      <c r="J244" s="487"/>
      <c r="K244" s="487">
        <f t="shared" ref="K244" si="25">SUM(K242:K243)</f>
        <v>130000</v>
      </c>
    </row>
    <row r="245" spans="1:11" x14ac:dyDescent="0.2">
      <c r="A245" s="535">
        <v>1</v>
      </c>
      <c r="B245" s="374" t="s">
        <v>948</v>
      </c>
      <c r="C245" s="374" t="s">
        <v>1706</v>
      </c>
      <c r="D245" s="435">
        <v>2617868</v>
      </c>
      <c r="E245" s="435">
        <v>812513</v>
      </c>
      <c r="F245" s="374" t="s">
        <v>1504</v>
      </c>
      <c r="G245" s="374" t="s">
        <v>1505</v>
      </c>
      <c r="H245" s="466">
        <v>1</v>
      </c>
      <c r="I245" s="439">
        <v>150000</v>
      </c>
      <c r="J245" s="466">
        <v>1</v>
      </c>
      <c r="K245" s="439">
        <v>117000</v>
      </c>
    </row>
    <row r="246" spans="1:11" x14ac:dyDescent="0.2">
      <c r="A246" s="542">
        <v>1</v>
      </c>
      <c r="B246" s="374" t="s">
        <v>1403</v>
      </c>
      <c r="C246" s="374" t="s">
        <v>1509</v>
      </c>
      <c r="D246" s="435">
        <v>9999999</v>
      </c>
      <c r="E246" s="435">
        <v>812513</v>
      </c>
      <c r="F246" s="374" t="s">
        <v>1504</v>
      </c>
      <c r="G246" s="374" t="s">
        <v>1505</v>
      </c>
      <c r="H246" s="756" t="s">
        <v>942</v>
      </c>
      <c r="I246" s="439">
        <v>90000</v>
      </c>
      <c r="J246" s="756" t="s">
        <v>942</v>
      </c>
      <c r="K246" s="439">
        <v>75000</v>
      </c>
    </row>
    <row r="247" spans="1:11" x14ac:dyDescent="0.2">
      <c r="A247" s="540" t="s">
        <v>1506</v>
      </c>
      <c r="B247" s="484"/>
      <c r="C247" s="484"/>
      <c r="D247" s="485"/>
      <c r="E247" s="485"/>
      <c r="F247" s="484"/>
      <c r="G247" s="484"/>
      <c r="H247" s="486"/>
      <c r="I247" s="487">
        <f>SUM(I245:I246)</f>
        <v>240000</v>
      </c>
      <c r="J247" s="931">
        <f>SUM(J245:J246)</f>
        <v>1</v>
      </c>
      <c r="K247" s="487">
        <f t="shared" ref="K247" si="26">SUM(K245:K246)</f>
        <v>192000</v>
      </c>
    </row>
    <row r="248" spans="1:11" ht="25.5" x14ac:dyDescent="0.2">
      <c r="A248" s="535">
        <v>1</v>
      </c>
      <c r="B248" s="374" t="s">
        <v>975</v>
      </c>
      <c r="C248" s="374" t="s">
        <v>1507</v>
      </c>
      <c r="D248" s="435">
        <v>2751317</v>
      </c>
      <c r="E248" s="435">
        <v>812515</v>
      </c>
      <c r="F248" s="374" t="s">
        <v>1508</v>
      </c>
      <c r="G248" s="374" t="s">
        <v>1484</v>
      </c>
      <c r="H248" s="466" t="s">
        <v>942</v>
      </c>
      <c r="I248" s="439">
        <v>50600</v>
      </c>
      <c r="J248" s="466" t="s">
        <v>942</v>
      </c>
      <c r="K248" s="439">
        <v>50600</v>
      </c>
    </row>
    <row r="249" spans="1:11" x14ac:dyDescent="0.2">
      <c r="A249" s="543"/>
      <c r="B249" s="484"/>
      <c r="C249" s="484"/>
      <c r="D249" s="485"/>
      <c r="E249" s="485"/>
      <c r="F249" s="484"/>
      <c r="G249" s="484"/>
      <c r="H249" s="486"/>
      <c r="I249" s="487">
        <f>SUM(I248:I248)</f>
        <v>50600</v>
      </c>
      <c r="J249" s="487"/>
      <c r="K249" s="487">
        <f t="shared" ref="K249" si="27">SUM(K248:K248)</f>
        <v>50600</v>
      </c>
    </row>
    <row r="250" spans="1:11" x14ac:dyDescent="0.2">
      <c r="A250" s="535">
        <v>1</v>
      </c>
      <c r="B250" s="995" t="s">
        <v>1403</v>
      </c>
      <c r="C250" s="995" t="s">
        <v>1509</v>
      </c>
      <c r="D250" s="996">
        <v>3311181</v>
      </c>
      <c r="E250" s="996">
        <v>812517</v>
      </c>
      <c r="F250" s="473" t="s">
        <v>684</v>
      </c>
      <c r="G250" s="995" t="s">
        <v>1484</v>
      </c>
      <c r="H250" s="997" t="s">
        <v>1510</v>
      </c>
      <c r="I250" s="998">
        <v>0</v>
      </c>
      <c r="J250" s="997" t="s">
        <v>1510</v>
      </c>
      <c r="K250" s="998">
        <v>0</v>
      </c>
    </row>
    <row r="251" spans="1:11" x14ac:dyDescent="0.2">
      <c r="A251" s="540" t="s">
        <v>1511</v>
      </c>
      <c r="B251" s="484"/>
      <c r="C251" s="484"/>
      <c r="D251" s="485"/>
      <c r="E251" s="485"/>
      <c r="F251" s="484"/>
      <c r="G251" s="484"/>
      <c r="H251" s="486"/>
      <c r="I251" s="487">
        <f>SUM(I250:I250)</f>
        <v>0</v>
      </c>
      <c r="J251" s="487"/>
      <c r="K251" s="487">
        <f t="shared" ref="K251" si="28">SUM(K250:K250)</f>
        <v>0</v>
      </c>
    </row>
    <row r="252" spans="1:11" x14ac:dyDescent="0.2">
      <c r="A252" s="535">
        <v>1</v>
      </c>
      <c r="B252" s="374" t="s">
        <v>1479</v>
      </c>
      <c r="C252" s="374" t="s">
        <v>1002</v>
      </c>
      <c r="D252" s="435">
        <v>5992866</v>
      </c>
      <c r="E252" s="435">
        <v>813200</v>
      </c>
      <c r="F252" s="374" t="s">
        <v>1512</v>
      </c>
      <c r="G252" s="374" t="s">
        <v>1213</v>
      </c>
      <c r="H252" s="466">
        <v>1</v>
      </c>
      <c r="I252" s="439">
        <v>92588</v>
      </c>
      <c r="J252" s="466">
        <v>1</v>
      </c>
      <c r="K252" s="439">
        <v>96000</v>
      </c>
    </row>
    <row r="253" spans="1:11" x14ac:dyDescent="0.2">
      <c r="A253" s="1002">
        <v>1</v>
      </c>
      <c r="B253" s="995" t="s">
        <v>1513</v>
      </c>
      <c r="C253" s="995" t="s">
        <v>924</v>
      </c>
      <c r="D253" s="996">
        <v>2767428</v>
      </c>
      <c r="E253" s="996">
        <v>813200</v>
      </c>
      <c r="F253" s="995" t="s">
        <v>1514</v>
      </c>
      <c r="G253" s="995" t="s">
        <v>1213</v>
      </c>
      <c r="H253" s="997">
        <v>1</v>
      </c>
      <c r="I253" s="998">
        <v>33323</v>
      </c>
      <c r="J253" s="997">
        <v>0.5</v>
      </c>
      <c r="K253" s="998">
        <v>35000</v>
      </c>
    </row>
    <row r="254" spans="1:11" x14ac:dyDescent="0.2">
      <c r="A254" s="1002">
        <v>1</v>
      </c>
      <c r="B254" s="995" t="s">
        <v>1025</v>
      </c>
      <c r="C254" s="995" t="s">
        <v>1081</v>
      </c>
      <c r="D254" s="996">
        <v>4052215</v>
      </c>
      <c r="E254" s="996">
        <v>813200</v>
      </c>
      <c r="F254" s="995" t="s">
        <v>1514</v>
      </c>
      <c r="G254" s="995" t="s">
        <v>1213</v>
      </c>
      <c r="H254" s="997">
        <v>1</v>
      </c>
      <c r="I254" s="998">
        <v>40713</v>
      </c>
      <c r="J254" s="997">
        <v>0</v>
      </c>
      <c r="K254" s="998">
        <v>0</v>
      </c>
    </row>
    <row r="255" spans="1:11" x14ac:dyDescent="0.2">
      <c r="A255" s="544">
        <v>1</v>
      </c>
      <c r="B255" s="377" t="s">
        <v>1438</v>
      </c>
      <c r="C255" s="377" t="s">
        <v>1515</v>
      </c>
      <c r="D255" s="437">
        <v>5703171</v>
      </c>
      <c r="E255" s="437">
        <v>813200</v>
      </c>
      <c r="F255" s="377" t="s">
        <v>1516</v>
      </c>
      <c r="G255" s="377" t="s">
        <v>1213</v>
      </c>
      <c r="H255" s="467">
        <v>1</v>
      </c>
      <c r="I255" s="439">
        <v>93320</v>
      </c>
      <c r="J255" s="467">
        <v>1</v>
      </c>
      <c r="K255" s="439">
        <v>96000</v>
      </c>
    </row>
    <row r="256" spans="1:11" x14ac:dyDescent="0.2">
      <c r="A256" s="544">
        <v>1</v>
      </c>
      <c r="B256" s="377" t="s">
        <v>975</v>
      </c>
      <c r="C256" s="377" t="s">
        <v>1013</v>
      </c>
      <c r="D256" s="437">
        <v>5938504</v>
      </c>
      <c r="E256" s="437">
        <v>742200</v>
      </c>
      <c r="F256" s="377" t="s">
        <v>1521</v>
      </c>
      <c r="G256" s="377" t="s">
        <v>1010</v>
      </c>
      <c r="H256" s="467">
        <v>1</v>
      </c>
      <c r="I256" s="439">
        <v>0</v>
      </c>
      <c r="J256" s="467">
        <v>1</v>
      </c>
      <c r="K256" s="439">
        <v>130000</v>
      </c>
    </row>
    <row r="257" spans="1:11" x14ac:dyDescent="0.2">
      <c r="A257" s="540" t="s">
        <v>1517</v>
      </c>
      <c r="B257" s="484"/>
      <c r="C257" s="484"/>
      <c r="D257" s="485"/>
      <c r="E257" s="485"/>
      <c r="F257" s="484"/>
      <c r="G257" s="484"/>
      <c r="H257" s="486">
        <f>SUM(H252:H256)</f>
        <v>5</v>
      </c>
      <c r="I257" s="487">
        <f t="shared" ref="I257:K257" si="29">SUM(I252:I256)</f>
        <v>259944</v>
      </c>
      <c r="J257" s="932">
        <f t="shared" si="29"/>
        <v>3.5</v>
      </c>
      <c r="K257" s="487">
        <f t="shared" si="29"/>
        <v>357000</v>
      </c>
    </row>
    <row r="258" spans="1:11" x14ac:dyDescent="0.2">
      <c r="A258" s="535">
        <v>1</v>
      </c>
      <c r="B258" s="374" t="s">
        <v>1479</v>
      </c>
      <c r="C258" s="374" t="s">
        <v>1518</v>
      </c>
      <c r="D258" s="435">
        <v>3996233</v>
      </c>
      <c r="E258" s="435">
        <v>813201</v>
      </c>
      <c r="F258" s="374" t="s">
        <v>1516</v>
      </c>
      <c r="G258" s="374" t="s">
        <v>931</v>
      </c>
      <c r="H258" s="466">
        <v>0.75</v>
      </c>
      <c r="I258" s="439">
        <v>76848</v>
      </c>
      <c r="J258" s="466">
        <v>0.75</v>
      </c>
      <c r="K258" s="439">
        <v>77000</v>
      </c>
    </row>
    <row r="259" spans="1:11" x14ac:dyDescent="0.2">
      <c r="A259" s="535">
        <v>1</v>
      </c>
      <c r="B259" s="374" t="s">
        <v>987</v>
      </c>
      <c r="C259" s="374" t="s">
        <v>1519</v>
      </c>
      <c r="D259" s="435">
        <v>2318530</v>
      </c>
      <c r="E259" s="435">
        <v>813201</v>
      </c>
      <c r="F259" s="374" t="s">
        <v>1512</v>
      </c>
      <c r="G259" s="374" t="s">
        <v>931</v>
      </c>
      <c r="H259" s="466">
        <v>0.83</v>
      </c>
      <c r="I259" s="439">
        <v>89805</v>
      </c>
      <c r="J259" s="466">
        <v>0.83</v>
      </c>
      <c r="K259" s="439">
        <v>90000</v>
      </c>
    </row>
    <row r="260" spans="1:11" x14ac:dyDescent="0.2">
      <c r="A260" s="535">
        <v>1</v>
      </c>
      <c r="B260" s="374" t="s">
        <v>1005</v>
      </c>
      <c r="C260" s="374" t="s">
        <v>1520</v>
      </c>
      <c r="D260" s="435">
        <v>30305481</v>
      </c>
      <c r="E260" s="435">
        <v>813201</v>
      </c>
      <c r="F260" s="374" t="s">
        <v>1512</v>
      </c>
      <c r="G260" s="374" t="s">
        <v>931</v>
      </c>
      <c r="H260" s="466">
        <v>0.6</v>
      </c>
      <c r="I260" s="439">
        <v>57050</v>
      </c>
      <c r="J260" s="466">
        <v>0.6</v>
      </c>
      <c r="K260" s="439">
        <v>58000</v>
      </c>
    </row>
    <row r="261" spans="1:11" x14ac:dyDescent="0.2">
      <c r="A261" s="535">
        <v>1</v>
      </c>
      <c r="B261" s="374" t="s">
        <v>1050</v>
      </c>
      <c r="C261" s="374" t="s">
        <v>1071</v>
      </c>
      <c r="D261" s="435">
        <v>5439348</v>
      </c>
      <c r="E261" s="435">
        <v>813201</v>
      </c>
      <c r="F261" s="374" t="s">
        <v>1521</v>
      </c>
      <c r="G261" s="374" t="s">
        <v>931</v>
      </c>
      <c r="H261" s="466">
        <v>0.8</v>
      </c>
      <c r="I261" s="439">
        <v>105194</v>
      </c>
      <c r="J261" s="466">
        <v>0.8</v>
      </c>
      <c r="K261" s="439">
        <v>105000</v>
      </c>
    </row>
    <row r="262" spans="1:11" x14ac:dyDescent="0.2">
      <c r="A262" s="535">
        <v>1</v>
      </c>
      <c r="B262" s="374" t="s">
        <v>928</v>
      </c>
      <c r="C262" s="374" t="s">
        <v>1522</v>
      </c>
      <c r="D262" s="435">
        <v>2617588</v>
      </c>
      <c r="E262" s="435">
        <v>813201</v>
      </c>
      <c r="F262" s="374" t="s">
        <v>1521</v>
      </c>
      <c r="G262" s="374" t="s">
        <v>931</v>
      </c>
      <c r="H262" s="466">
        <v>0.6</v>
      </c>
      <c r="I262" s="439">
        <v>54348</v>
      </c>
      <c r="J262" s="466">
        <v>0.6</v>
      </c>
      <c r="K262" s="439">
        <v>55000</v>
      </c>
    </row>
    <row r="263" spans="1:11" x14ac:dyDescent="0.2">
      <c r="A263" s="535">
        <v>1</v>
      </c>
      <c r="B263" s="374" t="s">
        <v>924</v>
      </c>
      <c r="C263" s="374" t="s">
        <v>1523</v>
      </c>
      <c r="D263" s="435">
        <v>5897615</v>
      </c>
      <c r="E263" s="435">
        <v>813201</v>
      </c>
      <c r="F263" s="374" t="s">
        <v>1524</v>
      </c>
      <c r="G263" s="374" t="s">
        <v>1525</v>
      </c>
      <c r="H263" s="466">
        <v>0.83</v>
      </c>
      <c r="I263" s="439">
        <v>94910</v>
      </c>
      <c r="J263" s="466">
        <v>0.83</v>
      </c>
      <c r="K263" s="439">
        <v>95000</v>
      </c>
    </row>
    <row r="264" spans="1:11" x14ac:dyDescent="0.2">
      <c r="A264" s="535">
        <v>1</v>
      </c>
      <c r="B264" s="374" t="s">
        <v>951</v>
      </c>
      <c r="C264" s="374" t="s">
        <v>1526</v>
      </c>
      <c r="D264" s="435">
        <v>2996869</v>
      </c>
      <c r="E264" s="435">
        <v>813201</v>
      </c>
      <c r="F264" s="374" t="s">
        <v>1524</v>
      </c>
      <c r="G264" s="374" t="s">
        <v>931</v>
      </c>
      <c r="H264" s="466">
        <v>0.8</v>
      </c>
      <c r="I264" s="439">
        <v>75732</v>
      </c>
      <c r="J264" s="466">
        <v>0.8</v>
      </c>
      <c r="K264" s="439">
        <v>76000</v>
      </c>
    </row>
    <row r="265" spans="1:11" x14ac:dyDescent="0.2">
      <c r="A265" s="540" t="s">
        <v>1527</v>
      </c>
      <c r="B265" s="484"/>
      <c r="C265" s="484"/>
      <c r="D265" s="485"/>
      <c r="E265" s="485"/>
      <c r="F265" s="484"/>
      <c r="G265" s="484"/>
      <c r="H265" s="486"/>
      <c r="I265" s="487">
        <f>SUM(I258:I264)</f>
        <v>553887</v>
      </c>
      <c r="J265" s="932">
        <f>SUM(J258:J264)</f>
        <v>5.21</v>
      </c>
      <c r="K265" s="487">
        <f>SUM(K258:K264)</f>
        <v>556000</v>
      </c>
    </row>
    <row r="266" spans="1:11" x14ac:dyDescent="0.2">
      <c r="A266" s="535">
        <v>1</v>
      </c>
      <c r="B266" s="374" t="s">
        <v>1528</v>
      </c>
      <c r="C266" s="374" t="s">
        <v>1496</v>
      </c>
      <c r="D266" s="435">
        <v>5698570</v>
      </c>
      <c r="E266" s="435">
        <v>813202</v>
      </c>
      <c r="F266" s="374" t="s">
        <v>1529</v>
      </c>
      <c r="G266" s="374" t="s">
        <v>981</v>
      </c>
      <c r="H266" s="466">
        <v>0.6</v>
      </c>
      <c r="I266" s="439">
        <v>56170</v>
      </c>
      <c r="J266" s="466">
        <v>0.6</v>
      </c>
      <c r="K266" s="439">
        <v>56170</v>
      </c>
    </row>
    <row r="267" spans="1:11" x14ac:dyDescent="0.2">
      <c r="A267" s="535">
        <v>1</v>
      </c>
      <c r="B267" s="374" t="s">
        <v>924</v>
      </c>
      <c r="C267" s="374" t="s">
        <v>1530</v>
      </c>
      <c r="D267" s="435">
        <v>5625625</v>
      </c>
      <c r="E267" s="435">
        <v>813202</v>
      </c>
      <c r="F267" s="374" t="s">
        <v>1529</v>
      </c>
      <c r="G267" s="374" t="s">
        <v>981</v>
      </c>
      <c r="H267" s="466">
        <v>0.6</v>
      </c>
      <c r="I267" s="439">
        <v>54503</v>
      </c>
      <c r="J267" s="466">
        <v>0.6</v>
      </c>
      <c r="K267" s="439">
        <v>54503</v>
      </c>
    </row>
    <row r="268" spans="1:11" x14ac:dyDescent="0.2">
      <c r="A268" s="535">
        <v>1</v>
      </c>
      <c r="B268" s="374" t="s">
        <v>1531</v>
      </c>
      <c r="C268" s="374" t="s">
        <v>1532</v>
      </c>
      <c r="D268" s="435">
        <v>5515862</v>
      </c>
      <c r="E268" s="435">
        <v>813202</v>
      </c>
      <c r="F268" s="374" t="s">
        <v>1529</v>
      </c>
      <c r="G268" s="374" t="s">
        <v>981</v>
      </c>
      <c r="H268" s="466">
        <v>0.6</v>
      </c>
      <c r="I268" s="439">
        <v>54135</v>
      </c>
      <c r="J268" s="466">
        <v>0.6</v>
      </c>
      <c r="K268" s="439">
        <v>54135</v>
      </c>
    </row>
    <row r="269" spans="1:11" x14ac:dyDescent="0.2">
      <c r="A269" s="535">
        <v>1</v>
      </c>
      <c r="B269" s="374" t="s">
        <v>1087</v>
      </c>
      <c r="C269" s="374" t="s">
        <v>1533</v>
      </c>
      <c r="D269" s="435">
        <v>5484140</v>
      </c>
      <c r="E269" s="435">
        <v>813202</v>
      </c>
      <c r="F269" s="374" t="s">
        <v>1529</v>
      </c>
      <c r="G269" s="374" t="s">
        <v>981</v>
      </c>
      <c r="H269" s="466">
        <v>0.6</v>
      </c>
      <c r="I269" s="439">
        <v>45789</v>
      </c>
      <c r="J269" s="466">
        <v>0.6</v>
      </c>
      <c r="K269" s="439">
        <v>45789</v>
      </c>
    </row>
    <row r="270" spans="1:11" x14ac:dyDescent="0.2">
      <c r="A270" s="535">
        <v>1</v>
      </c>
      <c r="B270" s="374" t="s">
        <v>1534</v>
      </c>
      <c r="C270" s="374" t="s">
        <v>1535</v>
      </c>
      <c r="D270" s="435">
        <v>5947329</v>
      </c>
      <c r="E270" s="435">
        <v>813202</v>
      </c>
      <c r="F270" s="374" t="s">
        <v>1529</v>
      </c>
      <c r="G270" s="374" t="s">
        <v>981</v>
      </c>
      <c r="H270" s="466">
        <f>20/42.5</f>
        <v>0.47058823529411764</v>
      </c>
      <c r="I270" s="439">
        <v>9900</v>
      </c>
      <c r="J270" s="466">
        <f>20/42.5</f>
        <v>0.47058823529411764</v>
      </c>
      <c r="K270" s="439">
        <v>9900</v>
      </c>
    </row>
    <row r="271" spans="1:11" x14ac:dyDescent="0.2">
      <c r="A271" s="535">
        <v>1</v>
      </c>
      <c r="B271" s="374" t="s">
        <v>939</v>
      </c>
      <c r="C271" s="374" t="s">
        <v>1536</v>
      </c>
      <c r="D271" s="435">
        <v>5760108</v>
      </c>
      <c r="E271" s="435">
        <v>813202</v>
      </c>
      <c r="F271" s="374" t="s">
        <v>1514</v>
      </c>
      <c r="G271" s="374" t="s">
        <v>981</v>
      </c>
      <c r="H271" s="466">
        <v>0.6</v>
      </c>
      <c r="I271" s="439">
        <v>56148</v>
      </c>
      <c r="J271" s="466">
        <v>0.6</v>
      </c>
      <c r="K271" s="439">
        <v>56148</v>
      </c>
    </row>
    <row r="272" spans="1:11" x14ac:dyDescent="0.2">
      <c r="A272" s="535">
        <v>1</v>
      </c>
      <c r="B272" s="374" t="s">
        <v>1098</v>
      </c>
      <c r="C272" s="374" t="s">
        <v>1537</v>
      </c>
      <c r="D272" s="435">
        <v>2833796</v>
      </c>
      <c r="E272" s="435">
        <v>813202</v>
      </c>
      <c r="F272" s="374" t="s">
        <v>1514</v>
      </c>
      <c r="G272" s="374" t="s">
        <v>981</v>
      </c>
      <c r="H272" s="466">
        <v>0.6</v>
      </c>
      <c r="I272" s="439">
        <v>57782</v>
      </c>
      <c r="J272" s="466">
        <v>0.6</v>
      </c>
      <c r="K272" s="439">
        <v>57782</v>
      </c>
    </row>
    <row r="273" spans="1:11" x14ac:dyDescent="0.2">
      <c r="A273" s="535">
        <v>1</v>
      </c>
      <c r="B273" s="374" t="s">
        <v>1035</v>
      </c>
      <c r="C273" s="374" t="s">
        <v>1538</v>
      </c>
      <c r="D273" s="435">
        <v>2750510</v>
      </c>
      <c r="E273" s="435">
        <v>813202</v>
      </c>
      <c r="F273" s="374" t="s">
        <v>1514</v>
      </c>
      <c r="G273" s="374" t="s">
        <v>981</v>
      </c>
      <c r="H273" s="466">
        <v>0.6</v>
      </c>
      <c r="I273" s="439">
        <v>58698</v>
      </c>
      <c r="J273" s="466">
        <v>0.6</v>
      </c>
      <c r="K273" s="439">
        <v>58698</v>
      </c>
    </row>
    <row r="274" spans="1:11" x14ac:dyDescent="0.2">
      <c r="A274" s="535">
        <v>1</v>
      </c>
      <c r="B274" s="374" t="s">
        <v>955</v>
      </c>
      <c r="C274" s="374" t="s">
        <v>1396</v>
      </c>
      <c r="D274" s="435">
        <v>2977830</v>
      </c>
      <c r="E274" s="435">
        <v>813202</v>
      </c>
      <c r="F274" s="374" t="s">
        <v>1514</v>
      </c>
      <c r="G274" s="374" t="s">
        <v>981</v>
      </c>
      <c r="H274" s="466">
        <v>0.6</v>
      </c>
      <c r="I274" s="439">
        <v>57588</v>
      </c>
      <c r="J274" s="466">
        <v>0.6</v>
      </c>
      <c r="K274" s="439">
        <v>57588</v>
      </c>
    </row>
    <row r="275" spans="1:11" x14ac:dyDescent="0.2">
      <c r="A275" s="535">
        <v>1</v>
      </c>
      <c r="B275" s="374" t="s">
        <v>943</v>
      </c>
      <c r="C275" s="374" t="s">
        <v>1539</v>
      </c>
      <c r="D275" s="435">
        <v>20055794</v>
      </c>
      <c r="E275" s="435">
        <v>813202</v>
      </c>
      <c r="F275" s="374" t="s">
        <v>1541</v>
      </c>
      <c r="G275" s="374" t="s">
        <v>981</v>
      </c>
      <c r="H275" s="466">
        <v>0.6</v>
      </c>
      <c r="I275" s="439">
        <v>40065</v>
      </c>
      <c r="J275" s="466">
        <v>0.6</v>
      </c>
      <c r="K275" s="439">
        <v>40065</v>
      </c>
    </row>
    <row r="276" spans="1:11" x14ac:dyDescent="0.2">
      <c r="A276" s="535"/>
      <c r="B276" s="535" t="s">
        <v>1377</v>
      </c>
      <c r="C276" s="374" t="s">
        <v>1378</v>
      </c>
      <c r="D276" s="374">
        <v>5891062</v>
      </c>
      <c r="E276" s="435">
        <v>829000</v>
      </c>
      <c r="F276" s="374" t="s">
        <v>1541</v>
      </c>
      <c r="G276" s="374" t="s">
        <v>981</v>
      </c>
      <c r="H276" s="466">
        <v>0</v>
      </c>
      <c r="I276" s="439">
        <v>0</v>
      </c>
      <c r="J276" s="466">
        <v>0</v>
      </c>
      <c r="K276" s="439">
        <v>0</v>
      </c>
    </row>
    <row r="277" spans="1:11" x14ac:dyDescent="0.2">
      <c r="A277" s="535">
        <v>1</v>
      </c>
      <c r="B277" s="995" t="s">
        <v>1540</v>
      </c>
      <c r="C277" s="995" t="s">
        <v>1129</v>
      </c>
      <c r="D277" s="996">
        <v>5947985</v>
      </c>
      <c r="E277" s="996">
        <v>813202</v>
      </c>
      <c r="F277" s="995" t="s">
        <v>1541</v>
      </c>
      <c r="G277" s="995" t="s">
        <v>981</v>
      </c>
      <c r="H277" s="997">
        <v>0.6</v>
      </c>
      <c r="I277" s="998">
        <v>10174</v>
      </c>
      <c r="J277" s="997">
        <v>0.6</v>
      </c>
      <c r="K277" s="998">
        <v>10174</v>
      </c>
    </row>
    <row r="278" spans="1:11" x14ac:dyDescent="0.2">
      <c r="A278" s="535">
        <v>1</v>
      </c>
      <c r="B278" s="374" t="s">
        <v>955</v>
      </c>
      <c r="C278" s="374" t="s">
        <v>1542</v>
      </c>
      <c r="D278" s="435">
        <v>5443641</v>
      </c>
      <c r="E278" s="435">
        <v>813202</v>
      </c>
      <c r="F278" s="374" t="s">
        <v>1541</v>
      </c>
      <c r="G278" s="374" t="s">
        <v>981</v>
      </c>
      <c r="H278" s="466">
        <v>0.6</v>
      </c>
      <c r="I278" s="439">
        <v>83031</v>
      </c>
      <c r="J278" s="466">
        <v>0.6</v>
      </c>
      <c r="K278" s="439">
        <v>83031</v>
      </c>
    </row>
    <row r="279" spans="1:11" x14ac:dyDescent="0.2">
      <c r="A279" s="535">
        <v>1</v>
      </c>
      <c r="B279" s="374" t="s">
        <v>955</v>
      </c>
      <c r="C279" s="374" t="s">
        <v>1543</v>
      </c>
      <c r="D279" s="435">
        <v>5944922</v>
      </c>
      <c r="E279" s="435">
        <v>813202</v>
      </c>
      <c r="F279" s="374" t="s">
        <v>1541</v>
      </c>
      <c r="G279" s="374" t="s">
        <v>981</v>
      </c>
      <c r="H279" s="466">
        <v>0.6</v>
      </c>
      <c r="I279" s="439">
        <v>74500</v>
      </c>
      <c r="J279" s="466">
        <v>0.6</v>
      </c>
      <c r="K279" s="439">
        <v>74500</v>
      </c>
    </row>
    <row r="280" spans="1:11" x14ac:dyDescent="0.2">
      <c r="A280" s="535">
        <v>1</v>
      </c>
      <c r="B280" s="374" t="s">
        <v>975</v>
      </c>
      <c r="C280" s="374" t="s">
        <v>1544</v>
      </c>
      <c r="D280" s="435">
        <v>5853061</v>
      </c>
      <c r="E280" s="435">
        <v>813202</v>
      </c>
      <c r="F280" s="374" t="s">
        <v>1524</v>
      </c>
      <c r="G280" s="374" t="s">
        <v>981</v>
      </c>
      <c r="H280" s="466">
        <v>0.6</v>
      </c>
      <c r="I280" s="439">
        <v>54482</v>
      </c>
      <c r="J280" s="466">
        <v>0.6</v>
      </c>
      <c r="K280" s="439">
        <v>54482</v>
      </c>
    </row>
    <row r="281" spans="1:11" x14ac:dyDescent="0.2">
      <c r="A281" s="535">
        <v>1</v>
      </c>
      <c r="B281" s="374" t="s">
        <v>1068</v>
      </c>
      <c r="C281" s="374" t="s">
        <v>1545</v>
      </c>
      <c r="D281" s="435">
        <v>2310870</v>
      </c>
      <c r="E281" s="435">
        <v>813202</v>
      </c>
      <c r="F281" s="374" t="s">
        <v>1524</v>
      </c>
      <c r="G281" s="374" t="s">
        <v>981</v>
      </c>
      <c r="H281" s="466">
        <v>0.6</v>
      </c>
      <c r="I281" s="439">
        <v>37905</v>
      </c>
      <c r="J281" s="466">
        <v>0.6</v>
      </c>
      <c r="K281" s="439">
        <v>37905</v>
      </c>
    </row>
    <row r="282" spans="1:11" x14ac:dyDescent="0.2">
      <c r="A282" s="535">
        <v>1</v>
      </c>
      <c r="B282" s="374" t="s">
        <v>1438</v>
      </c>
      <c r="C282" s="374" t="s">
        <v>1546</v>
      </c>
      <c r="D282" s="435">
        <v>2815163</v>
      </c>
      <c r="E282" s="435">
        <v>813202</v>
      </c>
      <c r="F282" s="374" t="s">
        <v>1524</v>
      </c>
      <c r="G282" s="374" t="s">
        <v>981</v>
      </c>
      <c r="H282" s="466">
        <v>0.6</v>
      </c>
      <c r="I282" s="439">
        <v>55044</v>
      </c>
      <c r="J282" s="466">
        <v>0.6</v>
      </c>
      <c r="K282" s="439">
        <v>55044</v>
      </c>
    </row>
    <row r="283" spans="1:11" x14ac:dyDescent="0.2">
      <c r="A283" s="535">
        <v>1</v>
      </c>
      <c r="B283" s="374" t="s">
        <v>1547</v>
      </c>
      <c r="C283" s="374" t="s">
        <v>1548</v>
      </c>
      <c r="D283" s="435">
        <v>20579819</v>
      </c>
      <c r="E283" s="435">
        <v>813202</v>
      </c>
      <c r="F283" s="374" t="s">
        <v>1524</v>
      </c>
      <c r="G283" s="374" t="s">
        <v>981</v>
      </c>
      <c r="H283" s="466">
        <v>0.6</v>
      </c>
      <c r="I283" s="439">
        <v>55368</v>
      </c>
      <c r="J283" s="466">
        <v>0.6</v>
      </c>
      <c r="K283" s="439">
        <v>55368</v>
      </c>
    </row>
    <row r="284" spans="1:11" x14ac:dyDescent="0.2">
      <c r="A284" s="535">
        <v>1</v>
      </c>
      <c r="B284" s="374" t="s">
        <v>1392</v>
      </c>
      <c r="C284" s="374" t="s">
        <v>1549</v>
      </c>
      <c r="D284" s="435">
        <v>5625569</v>
      </c>
      <c r="E284" s="435">
        <v>813202</v>
      </c>
      <c r="F284" s="374" t="s">
        <v>1524</v>
      </c>
      <c r="G284" s="995" t="s">
        <v>981</v>
      </c>
      <c r="H284" s="997"/>
      <c r="I284" s="998">
        <v>53729</v>
      </c>
      <c r="J284" s="997"/>
      <c r="K284" s="998">
        <v>53729</v>
      </c>
    </row>
    <row r="285" spans="1:11" x14ac:dyDescent="0.2">
      <c r="A285" s="540" t="s">
        <v>1550</v>
      </c>
      <c r="B285" s="484"/>
      <c r="C285" s="484"/>
      <c r="D285" s="485"/>
      <c r="E285" s="485"/>
      <c r="F285" s="484"/>
      <c r="G285" s="484"/>
      <c r="H285" s="486">
        <f>SUM(H266:H284)</f>
        <v>10.070588235294114</v>
      </c>
      <c r="I285" s="487">
        <f>SUM(I266:I284)</f>
        <v>915011</v>
      </c>
      <c r="J285" s="932">
        <f t="shared" ref="J285:K285" si="30">SUM(J266:J284)</f>
        <v>10.070588235294114</v>
      </c>
      <c r="K285" s="487">
        <f t="shared" si="30"/>
        <v>915011</v>
      </c>
    </row>
    <row r="286" spans="1:11" ht="25.5" x14ac:dyDescent="0.2">
      <c r="A286" s="534">
        <v>1</v>
      </c>
      <c r="B286" s="441" t="s">
        <v>1074</v>
      </c>
      <c r="C286" s="441" t="s">
        <v>1075</v>
      </c>
      <c r="D286" s="442">
        <v>5517367</v>
      </c>
      <c r="E286" s="442">
        <v>813204</v>
      </c>
      <c r="F286" s="441" t="s">
        <v>1551</v>
      </c>
      <c r="G286" s="441" t="s">
        <v>1076</v>
      </c>
      <c r="H286" s="468">
        <v>0.6</v>
      </c>
      <c r="I286" s="439">
        <v>77744</v>
      </c>
      <c r="J286" s="468">
        <v>0.6</v>
      </c>
      <c r="K286" s="439">
        <v>78000</v>
      </c>
    </row>
    <row r="287" spans="1:11" x14ac:dyDescent="0.2">
      <c r="A287" s="540" t="s">
        <v>1552</v>
      </c>
      <c r="B287" s="484"/>
      <c r="C287" s="484"/>
      <c r="D287" s="485"/>
      <c r="E287" s="485"/>
      <c r="F287" s="484"/>
      <c r="G287" s="484"/>
      <c r="H287" s="486">
        <v>0.6</v>
      </c>
      <c r="I287" s="487">
        <f>SUM(I286)</f>
        <v>77744</v>
      </c>
      <c r="J287" s="931">
        <v>0.6</v>
      </c>
      <c r="K287" s="487">
        <f>SUM(K286)</f>
        <v>78000</v>
      </c>
    </row>
    <row r="288" spans="1:11" ht="38.25" x14ac:dyDescent="0.2">
      <c r="A288" s="994">
        <v>1</v>
      </c>
      <c r="B288" s="995" t="s">
        <v>967</v>
      </c>
      <c r="C288" s="995" t="s">
        <v>940</v>
      </c>
      <c r="D288" s="996">
        <v>30287672</v>
      </c>
      <c r="E288" s="996">
        <v>813300</v>
      </c>
      <c r="F288" s="995" t="s">
        <v>1553</v>
      </c>
      <c r="G288" s="995" t="s">
        <v>1555</v>
      </c>
      <c r="H288" s="997">
        <v>0.8</v>
      </c>
      <c r="I288" s="998">
        <v>28166</v>
      </c>
      <c r="J288" s="997">
        <v>0.8</v>
      </c>
      <c r="K288" s="998">
        <v>29000</v>
      </c>
    </row>
    <row r="289" spans="1:11" ht="38.25" x14ac:dyDescent="0.2">
      <c r="A289" s="994">
        <v>1</v>
      </c>
      <c r="B289" s="995" t="s">
        <v>1554</v>
      </c>
      <c r="C289" s="995" t="s">
        <v>1522</v>
      </c>
      <c r="D289" s="996">
        <v>2815420</v>
      </c>
      <c r="E289" s="996">
        <v>813300</v>
      </c>
      <c r="F289" s="995" t="s">
        <v>1553</v>
      </c>
      <c r="G289" s="995" t="s">
        <v>1555</v>
      </c>
      <c r="H289" s="997">
        <v>0.8</v>
      </c>
      <c r="I289" s="998">
        <v>82674</v>
      </c>
      <c r="J289" s="997">
        <v>0.8</v>
      </c>
      <c r="K289" s="998">
        <v>83000</v>
      </c>
    </row>
    <row r="290" spans="1:11" ht="38.25" x14ac:dyDescent="0.2">
      <c r="A290" s="994">
        <v>1</v>
      </c>
      <c r="B290" s="995" t="s">
        <v>1556</v>
      </c>
      <c r="C290" s="995" t="s">
        <v>1557</v>
      </c>
      <c r="D290" s="806">
        <v>304758634</v>
      </c>
      <c r="E290" s="996">
        <v>813300</v>
      </c>
      <c r="F290" s="995" t="s">
        <v>1553</v>
      </c>
      <c r="G290" s="995" t="s">
        <v>1559</v>
      </c>
      <c r="H290" s="997">
        <v>1</v>
      </c>
      <c r="I290" s="998">
        <v>66263</v>
      </c>
      <c r="J290" s="997">
        <v>0</v>
      </c>
      <c r="K290" s="998">
        <v>67000</v>
      </c>
    </row>
    <row r="291" spans="1:11" ht="38.25" x14ac:dyDescent="0.2">
      <c r="A291" s="994">
        <v>1</v>
      </c>
      <c r="B291" s="995" t="s">
        <v>975</v>
      </c>
      <c r="C291" s="995" t="s">
        <v>1558</v>
      </c>
      <c r="D291" s="996">
        <v>3408418</v>
      </c>
      <c r="E291" s="996">
        <v>813300</v>
      </c>
      <c r="F291" s="995" t="s">
        <v>1553</v>
      </c>
      <c r="G291" s="995" t="s">
        <v>1560</v>
      </c>
      <c r="H291" s="997">
        <v>0.7</v>
      </c>
      <c r="I291" s="998">
        <v>40102</v>
      </c>
      <c r="J291" s="997">
        <v>0.7</v>
      </c>
      <c r="K291" s="998">
        <v>41000</v>
      </c>
    </row>
    <row r="292" spans="1:11" ht="38.25" x14ac:dyDescent="0.2">
      <c r="A292" s="994">
        <v>1</v>
      </c>
      <c r="B292" s="995" t="s">
        <v>1087</v>
      </c>
      <c r="C292" s="995" t="s">
        <v>979</v>
      </c>
      <c r="D292" s="996">
        <v>2318947</v>
      </c>
      <c r="E292" s="996">
        <v>813300</v>
      </c>
      <c r="F292" s="995" t="s">
        <v>1553</v>
      </c>
      <c r="G292" s="995" t="s">
        <v>1560</v>
      </c>
      <c r="H292" s="997">
        <v>0.6</v>
      </c>
      <c r="I292" s="998">
        <v>47669</v>
      </c>
      <c r="J292" s="997">
        <v>0.6</v>
      </c>
      <c r="K292" s="998">
        <v>48000</v>
      </c>
    </row>
    <row r="293" spans="1:11" ht="38.25" x14ac:dyDescent="0.2">
      <c r="A293" s="994">
        <v>1</v>
      </c>
      <c r="B293" s="995" t="s">
        <v>924</v>
      </c>
      <c r="C293" s="995" t="s">
        <v>1431</v>
      </c>
      <c r="D293" s="996">
        <v>2643576</v>
      </c>
      <c r="E293" s="996">
        <v>813300</v>
      </c>
      <c r="F293" s="995" t="s">
        <v>1553</v>
      </c>
      <c r="G293" s="995" t="s">
        <v>1560</v>
      </c>
      <c r="H293" s="997">
        <v>0.42</v>
      </c>
      <c r="I293" s="998">
        <v>78745</v>
      </c>
      <c r="J293" s="997">
        <v>0.42</v>
      </c>
      <c r="K293" s="998">
        <v>79000</v>
      </c>
    </row>
    <row r="294" spans="1:11" ht="25.5" x14ac:dyDescent="0.2">
      <c r="A294" s="994">
        <v>1</v>
      </c>
      <c r="B294" s="995" t="s">
        <v>1087</v>
      </c>
      <c r="C294" s="995" t="s">
        <v>1561</v>
      </c>
      <c r="D294" s="996">
        <v>2820879</v>
      </c>
      <c r="E294" s="996">
        <v>813300</v>
      </c>
      <c r="F294" s="995" t="s">
        <v>1553</v>
      </c>
      <c r="G294" s="995" t="s">
        <v>1563</v>
      </c>
      <c r="H294" s="997">
        <v>0.83</v>
      </c>
      <c r="I294" s="998">
        <v>41598</v>
      </c>
      <c r="J294" s="997">
        <v>0.83</v>
      </c>
      <c r="K294" s="998">
        <v>42000</v>
      </c>
    </row>
    <row r="295" spans="1:11" ht="25.5" x14ac:dyDescent="0.2">
      <c r="A295" s="994">
        <v>1</v>
      </c>
      <c r="B295" s="995" t="s">
        <v>955</v>
      </c>
      <c r="C295" s="995" t="s">
        <v>1460</v>
      </c>
      <c r="D295" s="1003">
        <v>5987470</v>
      </c>
      <c r="E295" s="996">
        <v>813300</v>
      </c>
      <c r="F295" s="995" t="s">
        <v>1553</v>
      </c>
      <c r="G295" s="995" t="s">
        <v>1563</v>
      </c>
      <c r="H295" s="997">
        <f>35/42.5</f>
        <v>0.82352941176470584</v>
      </c>
      <c r="I295" s="998">
        <v>78775</v>
      </c>
      <c r="J295" s="997">
        <v>0</v>
      </c>
      <c r="K295" s="998">
        <v>79000</v>
      </c>
    </row>
    <row r="296" spans="1:11" ht="25.5" x14ac:dyDescent="0.2">
      <c r="A296" s="994">
        <v>1</v>
      </c>
      <c r="B296" s="995" t="s">
        <v>1564</v>
      </c>
      <c r="C296" s="995" t="s">
        <v>1565</v>
      </c>
      <c r="D296" s="1003">
        <v>5944677</v>
      </c>
      <c r="E296" s="996">
        <v>813300</v>
      </c>
      <c r="F296" s="995" t="s">
        <v>1553</v>
      </c>
      <c r="G296" s="995" t="s">
        <v>1563</v>
      </c>
      <c r="H296" s="997">
        <f>34/42.5</f>
        <v>0.8</v>
      </c>
      <c r="I296" s="998">
        <v>14402</v>
      </c>
      <c r="J296" s="997">
        <v>0.75</v>
      </c>
      <c r="K296" s="998">
        <v>15000</v>
      </c>
    </row>
    <row r="297" spans="1:11" ht="38.25" x14ac:dyDescent="0.2">
      <c r="A297" s="994"/>
      <c r="B297" s="995" t="s">
        <v>1450</v>
      </c>
      <c r="C297" s="995" t="s">
        <v>1128</v>
      </c>
      <c r="D297" s="1003">
        <v>4093593</v>
      </c>
      <c r="E297" s="996">
        <v>813300</v>
      </c>
      <c r="F297" s="995" t="s">
        <v>1553</v>
      </c>
      <c r="G297" s="995" t="s">
        <v>1555</v>
      </c>
      <c r="H297" s="997">
        <f>30/42.5</f>
        <v>0.70588235294117652</v>
      </c>
      <c r="I297" s="998">
        <v>19018</v>
      </c>
      <c r="J297" s="997">
        <v>0.71</v>
      </c>
      <c r="K297" s="998">
        <v>20000</v>
      </c>
    </row>
    <row r="298" spans="1:11" ht="38.25" x14ac:dyDescent="0.2">
      <c r="A298" s="994">
        <v>1</v>
      </c>
      <c r="B298" s="995" t="s">
        <v>1438</v>
      </c>
      <c r="C298" s="995" t="s">
        <v>1461</v>
      </c>
      <c r="D298" s="1003">
        <v>2996822</v>
      </c>
      <c r="E298" s="996">
        <v>813300</v>
      </c>
      <c r="F298" s="995" t="s">
        <v>1553</v>
      </c>
      <c r="G298" s="995" t="s">
        <v>1555</v>
      </c>
      <c r="H298" s="997">
        <f>30/42.5</f>
        <v>0.70588235294117652</v>
      </c>
      <c r="I298" s="998">
        <v>12875</v>
      </c>
      <c r="J298" s="997">
        <v>0.71</v>
      </c>
      <c r="K298" s="998">
        <v>13000</v>
      </c>
    </row>
    <row r="299" spans="1:11" ht="25.5" x14ac:dyDescent="0.2">
      <c r="A299" s="994">
        <v>1</v>
      </c>
      <c r="B299" s="995" t="s">
        <v>990</v>
      </c>
      <c r="C299" s="995" t="s">
        <v>1467</v>
      </c>
      <c r="D299" s="996">
        <v>40084436</v>
      </c>
      <c r="E299" s="996">
        <v>813300</v>
      </c>
      <c r="F299" s="995" t="s">
        <v>1553</v>
      </c>
      <c r="G299" s="995" t="s">
        <v>1563</v>
      </c>
      <c r="H299" s="997">
        <f>22/42.5</f>
        <v>0.51764705882352946</v>
      </c>
      <c r="I299" s="998">
        <v>14716</v>
      </c>
      <c r="J299" s="997" t="s">
        <v>942</v>
      </c>
      <c r="K299" s="998">
        <v>15000</v>
      </c>
    </row>
    <row r="300" spans="1:11" x14ac:dyDescent="0.2">
      <c r="A300" s="994">
        <v>1</v>
      </c>
      <c r="B300" s="995" t="s">
        <v>1566</v>
      </c>
      <c r="C300" s="995" t="s">
        <v>1567</v>
      </c>
      <c r="D300" s="1004">
        <v>31795457</v>
      </c>
      <c r="E300" s="1004">
        <v>813300</v>
      </c>
      <c r="F300" s="995" t="s">
        <v>1553</v>
      </c>
      <c r="G300" s="1005"/>
      <c r="H300" s="1006"/>
      <c r="I300" s="998">
        <v>32265</v>
      </c>
      <c r="J300" s="998"/>
      <c r="K300" s="998">
        <v>33000</v>
      </c>
    </row>
    <row r="301" spans="1:11" ht="25.5" x14ac:dyDescent="0.2">
      <c r="A301" s="994">
        <v>1</v>
      </c>
      <c r="B301" s="995" t="s">
        <v>944</v>
      </c>
      <c r="C301" s="995" t="s">
        <v>1562</v>
      </c>
      <c r="D301" s="996">
        <v>3336177</v>
      </c>
      <c r="E301" s="996">
        <v>813310</v>
      </c>
      <c r="F301" s="995" t="s">
        <v>1553</v>
      </c>
      <c r="G301" s="995" t="s">
        <v>1492</v>
      </c>
      <c r="H301" s="997">
        <v>0</v>
      </c>
      <c r="I301" s="998">
        <v>32136</v>
      </c>
      <c r="J301" s="997" t="s">
        <v>942</v>
      </c>
      <c r="K301" s="998">
        <v>33000</v>
      </c>
    </row>
    <row r="302" spans="1:11" x14ac:dyDescent="0.2">
      <c r="A302" s="540" t="s">
        <v>1568</v>
      </c>
      <c r="B302" s="484"/>
      <c r="C302" s="484"/>
      <c r="D302" s="485"/>
      <c r="E302" s="485"/>
      <c r="F302" s="484"/>
      <c r="G302" s="484"/>
      <c r="H302" s="486"/>
      <c r="I302" s="487">
        <f>SUM(I288:I301)</f>
        <v>589404</v>
      </c>
      <c r="J302" s="932">
        <f>SUM(J288:J301)</f>
        <v>6.3199999999999994</v>
      </c>
      <c r="K302" s="487">
        <f>SUM(K288:K301)</f>
        <v>597000</v>
      </c>
    </row>
    <row r="303" spans="1:11" ht="25.5" x14ac:dyDescent="0.2">
      <c r="A303" s="535">
        <v>1</v>
      </c>
      <c r="B303" s="374" t="s">
        <v>924</v>
      </c>
      <c r="C303" s="374" t="s">
        <v>1569</v>
      </c>
      <c r="D303" s="435">
        <v>2622839</v>
      </c>
      <c r="E303" s="435">
        <v>813310</v>
      </c>
      <c r="F303" s="374" t="s">
        <v>1553</v>
      </c>
      <c r="G303" s="374" t="s">
        <v>1492</v>
      </c>
      <c r="H303" s="466" t="s">
        <v>942</v>
      </c>
      <c r="I303" s="439">
        <v>39640</v>
      </c>
      <c r="J303" s="466" t="s">
        <v>942</v>
      </c>
      <c r="K303" s="439">
        <v>39640</v>
      </c>
    </row>
    <row r="304" spans="1:11" ht="25.5" x14ac:dyDescent="0.2">
      <c r="A304" s="535">
        <v>1</v>
      </c>
      <c r="B304" s="374" t="s">
        <v>1570</v>
      </c>
      <c r="C304" s="374" t="s">
        <v>1535</v>
      </c>
      <c r="D304" s="435">
        <v>2643531</v>
      </c>
      <c r="E304" s="435">
        <v>813310</v>
      </c>
      <c r="F304" s="374" t="s">
        <v>1553</v>
      </c>
      <c r="G304" s="374" t="s">
        <v>1492</v>
      </c>
      <c r="H304" s="466">
        <v>0</v>
      </c>
      <c r="I304" s="439">
        <f>2445+5563</f>
        <v>8008</v>
      </c>
      <c r="J304" s="466">
        <v>0.8</v>
      </c>
      <c r="K304" s="439">
        <v>10000</v>
      </c>
    </row>
    <row r="305" spans="1:11" ht="25.5" x14ac:dyDescent="0.2">
      <c r="A305" s="535">
        <v>1</v>
      </c>
      <c r="B305" s="374" t="s">
        <v>944</v>
      </c>
      <c r="C305" s="374" t="s">
        <v>1571</v>
      </c>
      <c r="D305" s="435">
        <v>5944505</v>
      </c>
      <c r="E305" s="435">
        <v>813310</v>
      </c>
      <c r="F305" s="374" t="s">
        <v>1553</v>
      </c>
      <c r="G305" s="374" t="s">
        <v>1492</v>
      </c>
      <c r="H305" s="466">
        <v>1</v>
      </c>
      <c r="I305" s="439">
        <v>80142</v>
      </c>
      <c r="J305" s="466">
        <v>1</v>
      </c>
      <c r="K305" s="439">
        <v>80142</v>
      </c>
    </row>
    <row r="306" spans="1:11" ht="25.5" x14ac:dyDescent="0.2">
      <c r="A306" s="535">
        <v>1</v>
      </c>
      <c r="B306" s="374" t="s">
        <v>1572</v>
      </c>
      <c r="C306" s="374" t="s">
        <v>1573</v>
      </c>
      <c r="D306" s="435">
        <v>3480322</v>
      </c>
      <c r="E306" s="435">
        <v>813310</v>
      </c>
      <c r="F306" s="374" t="s">
        <v>1553</v>
      </c>
      <c r="G306" s="374" t="s">
        <v>1492</v>
      </c>
      <c r="H306" s="466">
        <v>1</v>
      </c>
      <c r="I306" s="439">
        <v>70110</v>
      </c>
      <c r="J306" s="466">
        <v>1</v>
      </c>
      <c r="K306" s="439">
        <v>71000</v>
      </c>
    </row>
    <row r="307" spans="1:11" ht="25.5" x14ac:dyDescent="0.2">
      <c r="A307" s="535">
        <v>1</v>
      </c>
      <c r="B307" s="374" t="s">
        <v>955</v>
      </c>
      <c r="C307" s="374" t="s">
        <v>1402</v>
      </c>
      <c r="D307" s="440">
        <v>2587900</v>
      </c>
      <c r="E307" s="435">
        <v>813310</v>
      </c>
      <c r="F307" s="374" t="s">
        <v>1553</v>
      </c>
      <c r="G307" s="374" t="s">
        <v>1492</v>
      </c>
      <c r="H307" s="466">
        <f>36/42.5</f>
        <v>0.84705882352941175</v>
      </c>
      <c r="I307" s="439">
        <v>21612</v>
      </c>
      <c r="J307" s="466">
        <v>0.85</v>
      </c>
      <c r="K307" s="439">
        <v>22000</v>
      </c>
    </row>
    <row r="308" spans="1:11" ht="25.5" x14ac:dyDescent="0.2">
      <c r="A308" s="535">
        <v>1</v>
      </c>
      <c r="B308" s="374" t="s">
        <v>924</v>
      </c>
      <c r="C308" s="374" t="s">
        <v>1578</v>
      </c>
      <c r="D308" s="806">
        <v>3693519</v>
      </c>
      <c r="E308" s="435">
        <v>813310</v>
      </c>
      <c r="F308" s="374" t="s">
        <v>1553</v>
      </c>
      <c r="G308" s="374" t="s">
        <v>1492</v>
      </c>
      <c r="H308" s="466">
        <f>16/42.5</f>
        <v>0.37647058823529411</v>
      </c>
      <c r="I308" s="439">
        <v>16935</v>
      </c>
      <c r="J308" s="466">
        <v>0.38</v>
      </c>
      <c r="K308" s="439">
        <v>19000</v>
      </c>
    </row>
    <row r="309" spans="1:11" ht="25.5" x14ac:dyDescent="0.2">
      <c r="A309" s="535">
        <v>1</v>
      </c>
      <c r="B309" s="374" t="s">
        <v>1430</v>
      </c>
      <c r="C309" s="374" t="s">
        <v>1472</v>
      </c>
      <c r="D309" s="435">
        <v>30265944</v>
      </c>
      <c r="E309" s="435">
        <v>813310</v>
      </c>
      <c r="F309" s="374" t="s">
        <v>1553</v>
      </c>
      <c r="G309" s="374" t="s">
        <v>1492</v>
      </c>
      <c r="H309" s="466">
        <v>0.56000000000000005</v>
      </c>
      <c r="I309" s="439">
        <v>16135</v>
      </c>
      <c r="J309" s="466">
        <v>0.56000000000000005</v>
      </c>
      <c r="K309" s="439">
        <v>16500</v>
      </c>
    </row>
    <row r="310" spans="1:11" ht="25.5" x14ac:dyDescent="0.2">
      <c r="A310" s="535">
        <v>1</v>
      </c>
      <c r="B310" s="374" t="s">
        <v>1438</v>
      </c>
      <c r="C310" s="374" t="s">
        <v>1577</v>
      </c>
      <c r="D310" s="435">
        <v>31501922</v>
      </c>
      <c r="E310" s="435">
        <v>813310</v>
      </c>
      <c r="F310" s="374" t="s">
        <v>1553</v>
      </c>
      <c r="G310" s="374" t="s">
        <v>1492</v>
      </c>
      <c r="H310" s="1007"/>
      <c r="I310" s="998">
        <v>11138</v>
      </c>
      <c r="J310" s="1007"/>
      <c r="K310" s="998">
        <v>12000</v>
      </c>
    </row>
    <row r="311" spans="1:11" ht="25.5" x14ac:dyDescent="0.2">
      <c r="A311" s="925">
        <v>1</v>
      </c>
      <c r="B311" s="374" t="s">
        <v>1087</v>
      </c>
      <c r="C311" s="374" t="s">
        <v>979</v>
      </c>
      <c r="D311" s="440">
        <v>2318947</v>
      </c>
      <c r="E311" s="435">
        <v>813310</v>
      </c>
      <c r="F311" s="374" t="s">
        <v>1553</v>
      </c>
      <c r="G311" s="374" t="s">
        <v>1492</v>
      </c>
      <c r="H311" s="1007"/>
      <c r="I311" s="998">
        <v>22320</v>
      </c>
      <c r="J311" s="1007"/>
      <c r="K311" s="998">
        <v>22320</v>
      </c>
    </row>
    <row r="312" spans="1:11" ht="25.5" x14ac:dyDescent="0.2">
      <c r="A312" s="925">
        <v>1</v>
      </c>
      <c r="B312" s="374" t="s">
        <v>944</v>
      </c>
      <c r="C312" s="374" t="s">
        <v>1562</v>
      </c>
      <c r="D312" s="440">
        <v>3336177</v>
      </c>
      <c r="E312" s="435">
        <v>813310</v>
      </c>
      <c r="F312" s="374" t="s">
        <v>1553</v>
      </c>
      <c r="G312" s="374" t="s">
        <v>1492</v>
      </c>
      <c r="H312" s="1007"/>
      <c r="I312" s="998">
        <v>22178</v>
      </c>
      <c r="J312" s="1007"/>
      <c r="K312" s="998">
        <v>22178</v>
      </c>
    </row>
    <row r="313" spans="1:11" x14ac:dyDescent="0.2">
      <c r="A313" s="540" t="s">
        <v>1711</v>
      </c>
      <c r="B313" s="484"/>
      <c r="C313" s="484"/>
      <c r="D313" s="485"/>
      <c r="E313" s="485"/>
      <c r="F313" s="484"/>
      <c r="G313" s="484"/>
      <c r="H313" s="486"/>
      <c r="I313" s="487">
        <f>SUM(I303:I312)</f>
        <v>308218</v>
      </c>
      <c r="J313" s="932">
        <f>SUM(J303:J312)</f>
        <v>4.59</v>
      </c>
      <c r="K313" s="487">
        <f>SUM(K303:K312)</f>
        <v>314780</v>
      </c>
    </row>
    <row r="314" spans="1:11" ht="51" x14ac:dyDescent="0.2">
      <c r="A314" s="535">
        <v>1</v>
      </c>
      <c r="B314" s="374" t="s">
        <v>1479</v>
      </c>
      <c r="C314" s="374" t="s">
        <v>1574</v>
      </c>
      <c r="D314" s="435">
        <v>31795462</v>
      </c>
      <c r="E314" s="435">
        <v>813320</v>
      </c>
      <c r="F314" s="374" t="s">
        <v>1553</v>
      </c>
      <c r="G314" s="374" t="s">
        <v>1575</v>
      </c>
      <c r="H314" s="466">
        <f>10/42.5</f>
        <v>0.23529411764705882</v>
      </c>
      <c r="I314" s="439">
        <v>56073</v>
      </c>
      <c r="J314" s="466">
        <f>10/42.5</f>
        <v>0.23529411764705882</v>
      </c>
      <c r="K314" s="439">
        <v>57000</v>
      </c>
    </row>
    <row r="315" spans="1:11" ht="51" x14ac:dyDescent="0.2">
      <c r="A315" s="994">
        <v>1</v>
      </c>
      <c r="B315" s="1008" t="s">
        <v>924</v>
      </c>
      <c r="C315" s="1008" t="s">
        <v>1576</v>
      </c>
      <c r="D315" s="1009">
        <v>31637738</v>
      </c>
      <c r="E315" s="1009">
        <v>813320</v>
      </c>
      <c r="F315" s="995" t="s">
        <v>1553</v>
      </c>
      <c r="G315" s="995" t="s">
        <v>1575</v>
      </c>
      <c r="H315" s="997">
        <f>30/42.5</f>
        <v>0.70588235294117652</v>
      </c>
      <c r="I315" s="1001">
        <v>3331</v>
      </c>
      <c r="J315" s="997">
        <v>0</v>
      </c>
      <c r="K315" s="1001">
        <v>0</v>
      </c>
    </row>
    <row r="316" spans="1:11" ht="51" x14ac:dyDescent="0.2">
      <c r="A316" s="994">
        <v>1</v>
      </c>
      <c r="B316" s="995" t="s">
        <v>924</v>
      </c>
      <c r="C316" s="995" t="s">
        <v>1578</v>
      </c>
      <c r="D316" s="996">
        <v>36935195</v>
      </c>
      <c r="E316" s="996">
        <v>813320</v>
      </c>
      <c r="F316" s="995" t="s">
        <v>1553</v>
      </c>
      <c r="G316" s="995" t="s">
        <v>1575</v>
      </c>
      <c r="H316" s="997"/>
      <c r="I316" s="998">
        <v>0</v>
      </c>
      <c r="J316" s="997">
        <v>0</v>
      </c>
      <c r="K316" s="998">
        <v>0</v>
      </c>
    </row>
    <row r="317" spans="1:11" ht="51" x14ac:dyDescent="0.2">
      <c r="A317" s="924">
        <v>1</v>
      </c>
      <c r="B317" s="374" t="s">
        <v>958</v>
      </c>
      <c r="C317" s="374" t="s">
        <v>1579</v>
      </c>
      <c r="D317" s="435">
        <v>3590738</v>
      </c>
      <c r="E317" s="435">
        <v>813320</v>
      </c>
      <c r="F317" s="374" t="s">
        <v>1553</v>
      </c>
      <c r="G317" s="374" t="s">
        <v>1575</v>
      </c>
      <c r="H317" s="466">
        <f>40/42.5</f>
        <v>0.94117647058823528</v>
      </c>
      <c r="I317" s="439">
        <v>65382</v>
      </c>
      <c r="J317" s="466">
        <f>40/42.5</f>
        <v>0.94117647058823528</v>
      </c>
      <c r="K317" s="439">
        <v>65382</v>
      </c>
    </row>
    <row r="318" spans="1:11" ht="51" x14ac:dyDescent="0.2">
      <c r="A318" s="924">
        <v>1</v>
      </c>
      <c r="B318" s="374" t="s">
        <v>1068</v>
      </c>
      <c r="C318" s="374" t="s">
        <v>1580</v>
      </c>
      <c r="D318" s="435">
        <v>6287104</v>
      </c>
      <c r="E318" s="435">
        <v>813320</v>
      </c>
      <c r="F318" s="374" t="s">
        <v>1553</v>
      </c>
      <c r="G318" s="374" t="s">
        <v>1575</v>
      </c>
      <c r="H318" s="466">
        <v>1</v>
      </c>
      <c r="I318" s="541">
        <v>29612</v>
      </c>
      <c r="J318" s="466">
        <v>1</v>
      </c>
      <c r="K318" s="541">
        <v>30000</v>
      </c>
    </row>
    <row r="319" spans="1:11" ht="51" x14ac:dyDescent="0.2">
      <c r="A319" s="924">
        <v>1</v>
      </c>
      <c r="B319" s="374" t="s">
        <v>987</v>
      </c>
      <c r="C319" s="374" t="s">
        <v>1581</v>
      </c>
      <c r="D319" s="435">
        <v>6574078</v>
      </c>
      <c r="E319" s="435">
        <v>813320</v>
      </c>
      <c r="F319" s="374" t="s">
        <v>1553</v>
      </c>
      <c r="G319" s="374" t="s">
        <v>1575</v>
      </c>
      <c r="H319" s="466">
        <f>40/42.5</f>
        <v>0.94117647058823528</v>
      </c>
      <c r="I319" s="541">
        <v>73733</v>
      </c>
      <c r="J319" s="466">
        <f>40/42.5</f>
        <v>0.94117647058823528</v>
      </c>
      <c r="K319" s="541">
        <v>74000</v>
      </c>
    </row>
    <row r="320" spans="1:11" ht="51" x14ac:dyDescent="0.2">
      <c r="A320" s="924">
        <v>1</v>
      </c>
      <c r="B320" s="374" t="s">
        <v>983</v>
      </c>
      <c r="C320" s="374" t="s">
        <v>1075</v>
      </c>
      <c r="D320" s="435">
        <v>32163602</v>
      </c>
      <c r="E320" s="435">
        <v>813320</v>
      </c>
      <c r="F320" s="374" t="s">
        <v>1553</v>
      </c>
      <c r="G320" s="374" t="s">
        <v>1575</v>
      </c>
      <c r="H320" s="466">
        <f>30/42.5</f>
        <v>0.70588235294117652</v>
      </c>
      <c r="I320" s="541">
        <v>44650</v>
      </c>
      <c r="J320" s="466">
        <f>30/42.5</f>
        <v>0.70588235294117652</v>
      </c>
      <c r="K320" s="541">
        <v>45000</v>
      </c>
    </row>
    <row r="321" spans="1:11" ht="51" x14ac:dyDescent="0.2">
      <c r="A321" s="1010">
        <v>1</v>
      </c>
      <c r="B321" s="995" t="s">
        <v>1331</v>
      </c>
      <c r="C321" s="995" t="s">
        <v>1389</v>
      </c>
      <c r="D321" s="996">
        <v>56256126</v>
      </c>
      <c r="E321" s="996">
        <v>813320</v>
      </c>
      <c r="F321" s="995" t="s">
        <v>1553</v>
      </c>
      <c r="G321" s="995" t="s">
        <v>1575</v>
      </c>
      <c r="H321" s="997">
        <v>0</v>
      </c>
      <c r="I321" s="998">
        <v>0</v>
      </c>
      <c r="J321" s="997">
        <v>0</v>
      </c>
      <c r="K321" s="998">
        <v>25000</v>
      </c>
    </row>
    <row r="322" spans="1:11" ht="51" x14ac:dyDescent="0.2">
      <c r="A322" s="1010">
        <v>1</v>
      </c>
      <c r="B322" s="995" t="s">
        <v>924</v>
      </c>
      <c r="C322" s="995" t="s">
        <v>1472</v>
      </c>
      <c r="D322" s="996">
        <v>3584536</v>
      </c>
      <c r="E322" s="996">
        <v>813320</v>
      </c>
      <c r="F322" s="995" t="s">
        <v>1553</v>
      </c>
      <c r="G322" s="995" t="s">
        <v>1575</v>
      </c>
      <c r="H322" s="997">
        <f>40/42.5</f>
        <v>0.94117647058823528</v>
      </c>
      <c r="I322" s="998">
        <v>76826</v>
      </c>
      <c r="J322" s="997">
        <v>0.94</v>
      </c>
      <c r="K322" s="998">
        <v>77000</v>
      </c>
    </row>
    <row r="323" spans="1:11" ht="51" x14ac:dyDescent="0.2">
      <c r="A323" s="1010">
        <v>1</v>
      </c>
      <c r="B323" s="995" t="s">
        <v>1540</v>
      </c>
      <c r="C323" s="995" t="s">
        <v>1582</v>
      </c>
      <c r="D323" s="996">
        <v>30505631</v>
      </c>
      <c r="E323" s="996">
        <v>813320</v>
      </c>
      <c r="F323" s="995" t="s">
        <v>1553</v>
      </c>
      <c r="G323" s="995" t="s">
        <v>1575</v>
      </c>
      <c r="H323" s="997">
        <v>0</v>
      </c>
      <c r="I323" s="998">
        <v>35323</v>
      </c>
      <c r="J323" s="997">
        <v>0</v>
      </c>
      <c r="K323" s="998">
        <v>36000</v>
      </c>
    </row>
    <row r="324" spans="1:11" ht="51" x14ac:dyDescent="0.2">
      <c r="A324" s="1010">
        <v>1</v>
      </c>
      <c r="B324" s="1008" t="s">
        <v>1570</v>
      </c>
      <c r="C324" s="1008" t="s">
        <v>1535</v>
      </c>
      <c r="D324" s="1009">
        <v>30993796</v>
      </c>
      <c r="E324" s="1009">
        <v>813320</v>
      </c>
      <c r="F324" s="995" t="s">
        <v>1553</v>
      </c>
      <c r="G324" s="995" t="s">
        <v>1575</v>
      </c>
      <c r="H324" s="997">
        <v>0</v>
      </c>
      <c r="I324" s="998">
        <v>0</v>
      </c>
      <c r="J324" s="997">
        <v>0</v>
      </c>
      <c r="K324" s="998">
        <v>10000</v>
      </c>
    </row>
    <row r="325" spans="1:11" ht="51" x14ac:dyDescent="0.2">
      <c r="A325" s="1010">
        <v>1</v>
      </c>
      <c r="B325" s="1008" t="s">
        <v>1377</v>
      </c>
      <c r="C325" s="1008" t="s">
        <v>1792</v>
      </c>
      <c r="D325" s="806">
        <v>3336229</v>
      </c>
      <c r="E325" s="1009">
        <v>813320</v>
      </c>
      <c r="F325" s="995" t="s">
        <v>1553</v>
      </c>
      <c r="G325" s="995" t="s">
        <v>1575</v>
      </c>
      <c r="H325" s="997">
        <v>0</v>
      </c>
      <c r="I325" s="998">
        <v>5020</v>
      </c>
      <c r="J325" s="997">
        <v>0</v>
      </c>
      <c r="K325" s="998">
        <v>0</v>
      </c>
    </row>
    <row r="326" spans="1:11" ht="51" x14ac:dyDescent="0.2">
      <c r="A326" s="1010">
        <v>1</v>
      </c>
      <c r="B326" s="1008" t="s">
        <v>1469</v>
      </c>
      <c r="C326" s="1008" t="s">
        <v>1583</v>
      </c>
      <c r="D326" s="1009">
        <v>2618527</v>
      </c>
      <c r="E326" s="1009">
        <v>813320</v>
      </c>
      <c r="F326" s="995" t="s">
        <v>1553</v>
      </c>
      <c r="G326" s="995" t="s">
        <v>1575</v>
      </c>
      <c r="H326" s="997">
        <v>1</v>
      </c>
      <c r="I326" s="998">
        <v>17339</v>
      </c>
      <c r="J326" s="997">
        <v>0</v>
      </c>
      <c r="K326" s="998">
        <v>0</v>
      </c>
    </row>
    <row r="327" spans="1:11" ht="51" x14ac:dyDescent="0.2">
      <c r="A327" s="1011">
        <v>1</v>
      </c>
      <c r="B327" s="995" t="s">
        <v>1116</v>
      </c>
      <c r="C327" s="995" t="s">
        <v>1435</v>
      </c>
      <c r="D327" s="996">
        <v>3408409</v>
      </c>
      <c r="E327" s="996">
        <v>813320</v>
      </c>
      <c r="F327" s="995" t="s">
        <v>1553</v>
      </c>
      <c r="G327" s="995" t="s">
        <v>1575</v>
      </c>
      <c r="H327" s="997">
        <v>1</v>
      </c>
      <c r="I327" s="998">
        <v>53899</v>
      </c>
      <c r="J327" s="997">
        <v>1</v>
      </c>
      <c r="K327" s="998">
        <v>54000</v>
      </c>
    </row>
    <row r="328" spans="1:11" ht="51" x14ac:dyDescent="0.2">
      <c r="A328" s="1011">
        <v>1</v>
      </c>
      <c r="B328" s="995" t="s">
        <v>1712</v>
      </c>
      <c r="C328" s="1008" t="s">
        <v>1713</v>
      </c>
      <c r="D328" s="1009">
        <v>6614470</v>
      </c>
      <c r="E328" s="1009">
        <v>813320</v>
      </c>
      <c r="F328" s="995" t="s">
        <v>1553</v>
      </c>
      <c r="G328" s="995" t="s">
        <v>1575</v>
      </c>
      <c r="H328" s="1006">
        <v>1</v>
      </c>
      <c r="I328" s="998">
        <v>17015</v>
      </c>
      <c r="J328" s="1006">
        <v>1</v>
      </c>
      <c r="K328" s="998">
        <v>17500</v>
      </c>
    </row>
    <row r="329" spans="1:11" ht="51" x14ac:dyDescent="0.2">
      <c r="A329" s="1011">
        <v>1</v>
      </c>
      <c r="B329" s="995" t="s">
        <v>955</v>
      </c>
      <c r="C329" s="1008" t="s">
        <v>1714</v>
      </c>
      <c r="D329" s="1009">
        <v>20363723</v>
      </c>
      <c r="E329" s="1009">
        <v>813320</v>
      </c>
      <c r="F329" s="995" t="s">
        <v>1553</v>
      </c>
      <c r="G329" s="995" t="s">
        <v>1575</v>
      </c>
      <c r="H329" s="1006">
        <v>0</v>
      </c>
      <c r="I329" s="998">
        <v>16566</v>
      </c>
      <c r="J329" s="998">
        <v>0</v>
      </c>
      <c r="K329" s="998">
        <v>16700</v>
      </c>
    </row>
    <row r="330" spans="1:11" ht="51" x14ac:dyDescent="0.2">
      <c r="A330" s="1011">
        <v>1</v>
      </c>
      <c r="B330" s="995" t="s">
        <v>948</v>
      </c>
      <c r="C330" s="1008" t="s">
        <v>1456</v>
      </c>
      <c r="D330" s="1009">
        <v>3457700</v>
      </c>
      <c r="E330" s="1009">
        <v>813320</v>
      </c>
      <c r="F330" s="995" t="s">
        <v>1553</v>
      </c>
      <c r="G330" s="995" t="s">
        <v>1575</v>
      </c>
      <c r="H330" s="1006">
        <v>0</v>
      </c>
      <c r="I330" s="998">
        <v>2655</v>
      </c>
      <c r="J330" s="998">
        <v>0</v>
      </c>
      <c r="K330" s="998">
        <v>2655</v>
      </c>
    </row>
    <row r="331" spans="1:11" ht="51" x14ac:dyDescent="0.2">
      <c r="A331" s="1011">
        <v>1</v>
      </c>
      <c r="B331" s="995" t="s">
        <v>975</v>
      </c>
      <c r="C331" s="1008" t="s">
        <v>1582</v>
      </c>
      <c r="D331" s="1009">
        <v>30993796</v>
      </c>
      <c r="E331" s="1009">
        <v>813320</v>
      </c>
      <c r="F331" s="995" t="s">
        <v>1553</v>
      </c>
      <c r="G331" s="995" t="s">
        <v>1575</v>
      </c>
      <c r="H331" s="1006">
        <v>0</v>
      </c>
      <c r="I331" s="998">
        <v>36987</v>
      </c>
      <c r="J331" s="998">
        <v>0</v>
      </c>
      <c r="K331" s="998">
        <v>37000</v>
      </c>
    </row>
    <row r="332" spans="1:11" ht="51" x14ac:dyDescent="0.2">
      <c r="A332" s="1011">
        <v>1</v>
      </c>
      <c r="B332" s="995" t="s">
        <v>1844</v>
      </c>
      <c r="C332" s="1008" t="s">
        <v>1793</v>
      </c>
      <c r="D332" s="1009">
        <v>3907613</v>
      </c>
      <c r="E332" s="1009">
        <v>813320</v>
      </c>
      <c r="F332" s="995" t="s">
        <v>1553</v>
      </c>
      <c r="G332" s="995" t="s">
        <v>1575</v>
      </c>
      <c r="H332" s="1006">
        <v>0</v>
      </c>
      <c r="I332" s="998">
        <v>19244</v>
      </c>
      <c r="J332" s="998">
        <v>0</v>
      </c>
      <c r="K332" s="998">
        <v>45000</v>
      </c>
    </row>
    <row r="333" spans="1:11" ht="51" x14ac:dyDescent="0.2">
      <c r="A333" s="1011">
        <v>1</v>
      </c>
      <c r="B333" s="995" t="s">
        <v>943</v>
      </c>
      <c r="C333" s="1008" t="s">
        <v>1046</v>
      </c>
      <c r="D333" s="1009">
        <v>32371500</v>
      </c>
      <c r="E333" s="1009">
        <v>813320</v>
      </c>
      <c r="F333" s="995" t="s">
        <v>1553</v>
      </c>
      <c r="G333" s="995" t="s">
        <v>1575</v>
      </c>
      <c r="H333" s="1006">
        <v>0</v>
      </c>
      <c r="I333" s="998">
        <v>40412</v>
      </c>
      <c r="J333" s="998">
        <v>0</v>
      </c>
      <c r="K333" s="998">
        <v>40500</v>
      </c>
    </row>
    <row r="334" spans="1:11" x14ac:dyDescent="0.2">
      <c r="A334" s="540" t="s">
        <v>1584</v>
      </c>
      <c r="B334" s="484"/>
      <c r="C334" s="484"/>
      <c r="D334" s="485"/>
      <c r="E334" s="485"/>
      <c r="F334" s="484"/>
      <c r="G334" s="484"/>
      <c r="H334" s="486">
        <v>0</v>
      </c>
      <c r="I334" s="487">
        <f>SUM(I314:I333)</f>
        <v>594067</v>
      </c>
      <c r="J334" s="932">
        <f>SUM(J314:J333)</f>
        <v>6.763529411764706</v>
      </c>
      <c r="K334" s="487">
        <f>SUM(K314:K333)</f>
        <v>632737</v>
      </c>
    </row>
    <row r="335" spans="1:11" x14ac:dyDescent="0.2">
      <c r="A335" s="535">
        <v>1</v>
      </c>
      <c r="B335" s="374" t="s">
        <v>924</v>
      </c>
      <c r="C335" s="374" t="s">
        <v>1585</v>
      </c>
      <c r="D335" s="435">
        <v>2328715</v>
      </c>
      <c r="E335" s="435">
        <v>814000</v>
      </c>
      <c r="F335" s="374" t="s">
        <v>1586</v>
      </c>
      <c r="G335" s="374" t="s">
        <v>981</v>
      </c>
      <c r="H335" s="466">
        <v>0.5</v>
      </c>
      <c r="I335" s="439">
        <v>76520</v>
      </c>
      <c r="J335" s="466">
        <v>0.5</v>
      </c>
      <c r="K335" s="439">
        <v>77000</v>
      </c>
    </row>
    <row r="336" spans="1:11" x14ac:dyDescent="0.2">
      <c r="A336" s="535">
        <v>1</v>
      </c>
      <c r="B336" s="374" t="s">
        <v>958</v>
      </c>
      <c r="C336" s="374" t="s">
        <v>1129</v>
      </c>
      <c r="D336" s="435">
        <v>3311068</v>
      </c>
      <c r="E336" s="435">
        <v>814000</v>
      </c>
      <c r="F336" s="374" t="s">
        <v>1586</v>
      </c>
      <c r="G336" s="374" t="s">
        <v>981</v>
      </c>
      <c r="H336" s="466">
        <v>0.5</v>
      </c>
      <c r="I336" s="439">
        <v>44595</v>
      </c>
      <c r="J336" s="466">
        <v>0.5</v>
      </c>
      <c r="K336" s="439">
        <v>45000</v>
      </c>
    </row>
    <row r="337" spans="1:11" x14ac:dyDescent="0.2">
      <c r="A337" s="994">
        <v>1</v>
      </c>
      <c r="B337" s="995" t="s">
        <v>1438</v>
      </c>
      <c r="C337" s="995" t="s">
        <v>1558</v>
      </c>
      <c r="D337" s="996">
        <v>3945507</v>
      </c>
      <c r="E337" s="996">
        <v>814000</v>
      </c>
      <c r="F337" s="995" t="s">
        <v>1586</v>
      </c>
      <c r="G337" s="997" t="s">
        <v>981</v>
      </c>
      <c r="H337" s="997">
        <v>0.5</v>
      </c>
      <c r="I337" s="998">
        <v>56350</v>
      </c>
      <c r="J337" s="997">
        <v>0.5</v>
      </c>
      <c r="K337" s="998">
        <v>57000</v>
      </c>
    </row>
    <row r="338" spans="1:11" x14ac:dyDescent="0.2">
      <c r="A338" s="994">
        <v>1</v>
      </c>
      <c r="B338" s="995" t="s">
        <v>1077</v>
      </c>
      <c r="C338" s="995" t="s">
        <v>1071</v>
      </c>
      <c r="D338" s="996">
        <v>5043571</v>
      </c>
      <c r="E338" s="996">
        <v>814000</v>
      </c>
      <c r="F338" s="995" t="s">
        <v>1586</v>
      </c>
      <c r="G338" s="995"/>
      <c r="H338" s="997">
        <v>0.5</v>
      </c>
      <c r="I338" s="998">
        <v>62123</v>
      </c>
      <c r="J338" s="997">
        <v>0.5</v>
      </c>
      <c r="K338" s="998">
        <v>65000</v>
      </c>
    </row>
    <row r="339" spans="1:11" x14ac:dyDescent="0.2">
      <c r="A339" s="994">
        <v>1</v>
      </c>
      <c r="B339" s="995" t="s">
        <v>1077</v>
      </c>
      <c r="C339" s="995" t="s">
        <v>1348</v>
      </c>
      <c r="D339" s="996">
        <v>3443023</v>
      </c>
      <c r="E339" s="996">
        <v>814000</v>
      </c>
      <c r="F339" s="995" t="s">
        <v>1586</v>
      </c>
      <c r="G339" s="995"/>
      <c r="H339" s="997">
        <v>0.5</v>
      </c>
      <c r="I339" s="998">
        <v>0</v>
      </c>
      <c r="J339" s="997">
        <v>0.5</v>
      </c>
      <c r="K339" s="998">
        <v>0</v>
      </c>
    </row>
    <row r="340" spans="1:11" x14ac:dyDescent="0.2">
      <c r="A340" s="994">
        <v>1</v>
      </c>
      <c r="B340" s="995" t="s">
        <v>1587</v>
      </c>
      <c r="C340" s="995" t="s">
        <v>1588</v>
      </c>
      <c r="D340" s="996">
        <v>5439344</v>
      </c>
      <c r="E340" s="996">
        <v>814000</v>
      </c>
      <c r="F340" s="995" t="s">
        <v>1586</v>
      </c>
      <c r="G340" s="995"/>
      <c r="H340" s="997">
        <v>0.5</v>
      </c>
      <c r="I340" s="998">
        <v>57722</v>
      </c>
      <c r="J340" s="997">
        <v>0.5</v>
      </c>
      <c r="K340" s="998">
        <v>58000</v>
      </c>
    </row>
    <row r="341" spans="1:11" x14ac:dyDescent="0.2">
      <c r="A341" s="994">
        <v>1</v>
      </c>
      <c r="B341" s="995" t="s">
        <v>975</v>
      </c>
      <c r="C341" s="995" t="s">
        <v>1589</v>
      </c>
      <c r="D341" s="996">
        <v>5581656</v>
      </c>
      <c r="E341" s="996">
        <v>814000</v>
      </c>
      <c r="F341" s="995" t="s">
        <v>1586</v>
      </c>
      <c r="G341" s="995" t="s">
        <v>931</v>
      </c>
      <c r="H341" s="997">
        <v>0.5</v>
      </c>
      <c r="I341" s="998">
        <v>41106</v>
      </c>
      <c r="J341" s="997">
        <v>0.5</v>
      </c>
      <c r="K341" s="998">
        <v>0</v>
      </c>
    </row>
    <row r="342" spans="1:11" x14ac:dyDescent="0.2">
      <c r="A342" s="994">
        <v>1</v>
      </c>
      <c r="B342" s="995" t="s">
        <v>975</v>
      </c>
      <c r="C342" s="995" t="s">
        <v>1590</v>
      </c>
      <c r="D342" s="996">
        <v>5631600</v>
      </c>
      <c r="E342" s="996">
        <v>814000</v>
      </c>
      <c r="F342" s="995" t="s">
        <v>1586</v>
      </c>
      <c r="G342" s="995" t="s">
        <v>1837</v>
      </c>
      <c r="H342" s="997">
        <v>0.5</v>
      </c>
      <c r="I342" s="998">
        <v>58328</v>
      </c>
      <c r="J342" s="997">
        <v>0.5</v>
      </c>
      <c r="K342" s="998">
        <v>60000</v>
      </c>
    </row>
    <row r="343" spans="1:11" x14ac:dyDescent="0.2">
      <c r="A343" s="994">
        <v>1</v>
      </c>
      <c r="B343" s="995" t="s">
        <v>1068</v>
      </c>
      <c r="C343" s="995" t="s">
        <v>1591</v>
      </c>
      <c r="D343" s="996">
        <v>5897607</v>
      </c>
      <c r="E343" s="996">
        <v>814000</v>
      </c>
      <c r="F343" s="995" t="s">
        <v>1586</v>
      </c>
      <c r="G343" s="995" t="s">
        <v>1213</v>
      </c>
      <c r="H343" s="997">
        <v>1</v>
      </c>
      <c r="I343" s="998">
        <v>92935</v>
      </c>
      <c r="J343" s="997">
        <v>1</v>
      </c>
      <c r="K343" s="998">
        <v>93000</v>
      </c>
    </row>
    <row r="344" spans="1:11" x14ac:dyDescent="0.2">
      <c r="A344" s="994">
        <v>1</v>
      </c>
      <c r="B344" s="995" t="s">
        <v>958</v>
      </c>
      <c r="C344" s="995" t="s">
        <v>1593</v>
      </c>
      <c r="D344" s="996">
        <v>5897797</v>
      </c>
      <c r="E344" s="996">
        <v>814000</v>
      </c>
      <c r="F344" s="995" t="s">
        <v>1586</v>
      </c>
      <c r="G344" s="995"/>
      <c r="H344" s="997">
        <v>1</v>
      </c>
      <c r="I344" s="998">
        <v>99694</v>
      </c>
      <c r="J344" s="997">
        <v>1</v>
      </c>
      <c r="K344" s="998">
        <v>99700</v>
      </c>
    </row>
    <row r="345" spans="1:11" x14ac:dyDescent="0.2">
      <c r="A345" s="994">
        <v>1</v>
      </c>
      <c r="B345" s="995" t="s">
        <v>1035</v>
      </c>
      <c r="C345" s="995" t="s">
        <v>1594</v>
      </c>
      <c r="D345" s="996">
        <v>6623133</v>
      </c>
      <c r="E345" s="996">
        <v>814000</v>
      </c>
      <c r="F345" s="995" t="s">
        <v>1586</v>
      </c>
      <c r="G345" s="995"/>
      <c r="H345" s="997">
        <v>0.5</v>
      </c>
      <c r="I345" s="998">
        <v>55925</v>
      </c>
      <c r="J345" s="997">
        <v>0.5</v>
      </c>
      <c r="K345" s="998">
        <v>56000</v>
      </c>
    </row>
    <row r="346" spans="1:11" x14ac:dyDescent="0.2">
      <c r="A346" s="994">
        <v>1</v>
      </c>
      <c r="B346" s="995" t="s">
        <v>1055</v>
      </c>
      <c r="C346" s="995" t="s">
        <v>971</v>
      </c>
      <c r="D346" s="996">
        <v>2827480</v>
      </c>
      <c r="E346" s="996">
        <v>814000</v>
      </c>
      <c r="F346" s="995" t="s">
        <v>1586</v>
      </c>
      <c r="G346" s="995"/>
      <c r="H346" s="997">
        <v>0.5</v>
      </c>
      <c r="I346" s="998">
        <v>63204</v>
      </c>
      <c r="J346" s="997">
        <v>0.5</v>
      </c>
      <c r="K346" s="998">
        <v>63204</v>
      </c>
    </row>
    <row r="347" spans="1:11" x14ac:dyDescent="0.2">
      <c r="A347" s="1012">
        <v>1</v>
      </c>
      <c r="B347" s="995" t="s">
        <v>1052</v>
      </c>
      <c r="C347" s="995" t="s">
        <v>979</v>
      </c>
      <c r="D347" s="996">
        <v>2319412</v>
      </c>
      <c r="E347" s="996">
        <v>814000</v>
      </c>
      <c r="F347" s="995" t="s">
        <v>1595</v>
      </c>
      <c r="G347" s="1000"/>
      <c r="H347" s="1013">
        <v>0.5</v>
      </c>
      <c r="I347" s="998">
        <v>53760</v>
      </c>
      <c r="J347" s="1013">
        <v>0.5</v>
      </c>
      <c r="K347" s="998">
        <v>54000</v>
      </c>
    </row>
    <row r="348" spans="1:11" ht="25.5" x14ac:dyDescent="0.2">
      <c r="A348" s="994">
        <v>1</v>
      </c>
      <c r="B348" s="1000" t="s">
        <v>944</v>
      </c>
      <c r="C348" s="1000" t="s">
        <v>1596</v>
      </c>
      <c r="D348" s="999">
        <v>5992709</v>
      </c>
      <c r="E348" s="999">
        <v>814000</v>
      </c>
      <c r="F348" s="1000" t="s">
        <v>1597</v>
      </c>
      <c r="G348" s="995"/>
      <c r="H348" s="997">
        <v>0.5</v>
      </c>
      <c r="I348" s="1014">
        <v>52661</v>
      </c>
      <c r="J348" s="997">
        <v>0.5</v>
      </c>
      <c r="K348" s="998">
        <v>52662</v>
      </c>
    </row>
    <row r="349" spans="1:11" ht="25.5" x14ac:dyDescent="0.2">
      <c r="A349" s="1012">
        <v>1</v>
      </c>
      <c r="B349" s="995" t="s">
        <v>1540</v>
      </c>
      <c r="C349" s="995" t="s">
        <v>1117</v>
      </c>
      <c r="D349" s="996">
        <v>5581774</v>
      </c>
      <c r="E349" s="996">
        <v>814000</v>
      </c>
      <c r="F349" s="995" t="s">
        <v>1597</v>
      </c>
      <c r="G349" s="995"/>
      <c r="H349" s="997">
        <v>0.5</v>
      </c>
      <c r="I349" s="998">
        <v>59080</v>
      </c>
      <c r="J349" s="997">
        <v>0.5</v>
      </c>
      <c r="K349" s="998">
        <f>33722+20000</f>
        <v>53722</v>
      </c>
    </row>
    <row r="350" spans="1:11" ht="25.5" x14ac:dyDescent="0.2">
      <c r="A350" s="1012">
        <v>1</v>
      </c>
      <c r="B350" s="995" t="s">
        <v>1598</v>
      </c>
      <c r="C350" s="995" t="s">
        <v>1599</v>
      </c>
      <c r="D350" s="996">
        <v>2635877</v>
      </c>
      <c r="E350" s="996">
        <v>814000</v>
      </c>
      <c r="F350" s="995" t="s">
        <v>1597</v>
      </c>
      <c r="G350" s="995"/>
      <c r="H350" s="997">
        <v>0.5</v>
      </c>
      <c r="I350" s="998">
        <v>46622</v>
      </c>
      <c r="J350" s="997">
        <v>0.5</v>
      </c>
      <c r="K350" s="998">
        <f>26165+20000</f>
        <v>46165</v>
      </c>
    </row>
    <row r="351" spans="1:11" ht="25.5" x14ac:dyDescent="0.2">
      <c r="A351" s="1012">
        <v>1</v>
      </c>
      <c r="B351" s="995" t="s">
        <v>1600</v>
      </c>
      <c r="C351" s="995" t="s">
        <v>1090</v>
      </c>
      <c r="D351" s="996">
        <v>2824827</v>
      </c>
      <c r="E351" s="996">
        <v>814000</v>
      </c>
      <c r="F351" s="995" t="s">
        <v>1597</v>
      </c>
      <c r="G351" s="995"/>
      <c r="H351" s="997">
        <v>1</v>
      </c>
      <c r="I351" s="998">
        <v>96714</v>
      </c>
      <c r="J351" s="997">
        <v>1</v>
      </c>
      <c r="K351" s="998">
        <v>97000</v>
      </c>
    </row>
    <row r="352" spans="1:11" ht="25.5" x14ac:dyDescent="0.2">
      <c r="A352" s="1012">
        <v>1</v>
      </c>
      <c r="B352" s="995" t="s">
        <v>1498</v>
      </c>
      <c r="C352" s="995" t="s">
        <v>1453</v>
      </c>
      <c r="D352" s="996">
        <v>30137813</v>
      </c>
      <c r="E352" s="996">
        <v>814000</v>
      </c>
      <c r="F352" s="995" t="s">
        <v>1597</v>
      </c>
      <c r="G352" s="995"/>
      <c r="H352" s="997">
        <v>0.5</v>
      </c>
      <c r="I352" s="998">
        <v>34060</v>
      </c>
      <c r="J352" s="997">
        <v>0.5</v>
      </c>
      <c r="K352" s="998">
        <v>34060</v>
      </c>
    </row>
    <row r="353" spans="1:11" ht="25.5" x14ac:dyDescent="0.2">
      <c r="A353" s="1012"/>
      <c r="B353" s="995" t="s">
        <v>1068</v>
      </c>
      <c r="C353" s="995" t="s">
        <v>1545</v>
      </c>
      <c r="D353" s="996">
        <v>2310870</v>
      </c>
      <c r="E353" s="996">
        <v>814001</v>
      </c>
      <c r="F353" s="995" t="s">
        <v>1597</v>
      </c>
      <c r="G353" s="995"/>
      <c r="H353" s="997">
        <v>0.16</v>
      </c>
      <c r="I353" s="998">
        <f>16488+4000</f>
        <v>20488</v>
      </c>
      <c r="J353" s="997">
        <v>0.16</v>
      </c>
      <c r="K353" s="998">
        <v>20488</v>
      </c>
    </row>
    <row r="354" spans="1:11" x14ac:dyDescent="0.2">
      <c r="A354" s="540" t="s">
        <v>1601</v>
      </c>
      <c r="B354" s="484"/>
      <c r="C354" s="484"/>
      <c r="D354" s="485"/>
      <c r="E354" s="485"/>
      <c r="F354" s="484"/>
      <c r="G354" s="484" t="s">
        <v>1603</v>
      </c>
      <c r="H354" s="486">
        <f>SUM(H335:H353)</f>
        <v>10.66</v>
      </c>
      <c r="I354" s="487">
        <f>SUM(I335:I353)</f>
        <v>1071887</v>
      </c>
      <c r="J354" s="932">
        <f>SUM(J335:J353)</f>
        <v>10.66</v>
      </c>
      <c r="K354" s="487">
        <f>SUM(K335:K353)</f>
        <v>1032001</v>
      </c>
    </row>
    <row r="355" spans="1:11" ht="25.5" x14ac:dyDescent="0.2">
      <c r="A355" s="542">
        <v>1</v>
      </c>
      <c r="B355" s="374" t="s">
        <v>1602</v>
      </c>
      <c r="C355" s="374" t="s">
        <v>1509</v>
      </c>
      <c r="D355" s="435">
        <v>9999999</v>
      </c>
      <c r="E355" s="435">
        <v>815200</v>
      </c>
      <c r="F355" s="374" t="s">
        <v>1230</v>
      </c>
      <c r="G355" s="995"/>
      <c r="H355" s="997"/>
      <c r="I355" s="998">
        <v>695695</v>
      </c>
      <c r="J355" s="997"/>
      <c r="K355" s="998">
        <v>800000</v>
      </c>
    </row>
    <row r="356" spans="1:11" x14ac:dyDescent="0.2">
      <c r="A356" s="540" t="s">
        <v>1604</v>
      </c>
      <c r="B356" s="484"/>
      <c r="C356" s="484"/>
      <c r="D356" s="485"/>
      <c r="E356" s="485"/>
      <c r="F356" s="484"/>
      <c r="G356" s="484"/>
      <c r="H356" s="486">
        <v>73.650000000000006</v>
      </c>
      <c r="I356" s="487">
        <f>SUM(I355)</f>
        <v>695695</v>
      </c>
      <c r="J356" s="487"/>
      <c r="K356" s="487">
        <f>SUM(K355)</f>
        <v>800000</v>
      </c>
    </row>
    <row r="357" spans="1:11" ht="25.5" x14ac:dyDescent="0.2">
      <c r="A357" s="542">
        <v>1</v>
      </c>
      <c r="B357" s="374" t="s">
        <v>1479</v>
      </c>
      <c r="C357" s="374" t="s">
        <v>1845</v>
      </c>
      <c r="D357" s="435">
        <v>5763021</v>
      </c>
      <c r="E357" s="435">
        <v>817100</v>
      </c>
      <c r="F357" s="374" t="s">
        <v>1605</v>
      </c>
      <c r="G357" s="374"/>
      <c r="H357" s="466">
        <v>0.5</v>
      </c>
      <c r="I357" s="439">
        <v>34569</v>
      </c>
      <c r="J357" s="466">
        <v>0.5</v>
      </c>
      <c r="K357" s="439">
        <v>60000</v>
      </c>
    </row>
    <row r="358" spans="1:11" x14ac:dyDescent="0.2">
      <c r="A358" s="540" t="s">
        <v>1606</v>
      </c>
      <c r="B358" s="484"/>
      <c r="C358" s="484"/>
      <c r="D358" s="485"/>
      <c r="E358" s="485"/>
      <c r="F358" s="484"/>
      <c r="G358" s="484"/>
      <c r="H358" s="486">
        <v>0.5</v>
      </c>
      <c r="I358" s="487">
        <f>SUM(I357)</f>
        <v>34569</v>
      </c>
      <c r="J358" s="932">
        <f>SUM(J357)</f>
        <v>0.5</v>
      </c>
      <c r="K358" s="487">
        <f>SUM(K357)</f>
        <v>60000</v>
      </c>
    </row>
    <row r="359" spans="1:11" ht="38.25" x14ac:dyDescent="0.2">
      <c r="A359" s="926">
        <v>1</v>
      </c>
      <c r="B359" s="374" t="s">
        <v>1403</v>
      </c>
      <c r="C359" s="374" t="s">
        <v>1509</v>
      </c>
      <c r="D359" s="435">
        <v>9999999</v>
      </c>
      <c r="E359" s="435">
        <v>817120</v>
      </c>
      <c r="F359" s="374" t="s">
        <v>1607</v>
      </c>
      <c r="G359" s="374"/>
      <c r="H359" s="466"/>
      <c r="I359" s="439">
        <v>40036</v>
      </c>
      <c r="J359" s="466"/>
      <c r="K359" s="439">
        <v>46000</v>
      </c>
    </row>
    <row r="360" spans="1:11" x14ac:dyDescent="0.2">
      <c r="A360" s="540" t="s">
        <v>1840</v>
      </c>
      <c r="B360" s="484"/>
      <c r="C360" s="484"/>
      <c r="D360" s="485"/>
      <c r="E360" s="485"/>
      <c r="F360" s="484"/>
      <c r="G360" s="484"/>
      <c r="H360" s="486"/>
      <c r="I360" s="487">
        <f>SUM(I359)</f>
        <v>40036</v>
      </c>
      <c r="J360" s="487">
        <f t="shared" ref="J360:K360" si="31">SUM(J359)</f>
        <v>0</v>
      </c>
      <c r="K360" s="487">
        <f t="shared" si="31"/>
        <v>46000</v>
      </c>
    </row>
    <row r="361" spans="1:11" x14ac:dyDescent="0.2">
      <c r="A361" s="542">
        <v>1</v>
      </c>
      <c r="B361" s="374" t="s">
        <v>990</v>
      </c>
      <c r="C361" s="374" t="s">
        <v>1608</v>
      </c>
      <c r="D361" s="435">
        <v>2587620</v>
      </c>
      <c r="E361" s="435">
        <v>817200</v>
      </c>
      <c r="F361" s="374" t="s">
        <v>1609</v>
      </c>
      <c r="G361" s="374"/>
      <c r="H361" s="466">
        <v>0.5</v>
      </c>
      <c r="I361" s="439">
        <v>47734</v>
      </c>
      <c r="J361" s="466">
        <v>0.5</v>
      </c>
      <c r="K361" s="439">
        <v>48000</v>
      </c>
    </row>
    <row r="362" spans="1:11" x14ac:dyDescent="0.2">
      <c r="A362" s="540" t="s">
        <v>1610</v>
      </c>
      <c r="B362" s="484"/>
      <c r="C362" s="484"/>
      <c r="D362" s="485"/>
      <c r="E362" s="485"/>
      <c r="F362" s="484"/>
      <c r="G362" s="484"/>
      <c r="H362" s="486">
        <f>SUM(H361)</f>
        <v>0.5</v>
      </c>
      <c r="I362" s="487">
        <f t="shared" ref="I362:K362" si="32">SUM(I361)</f>
        <v>47734</v>
      </c>
      <c r="J362" s="932">
        <v>0.5</v>
      </c>
      <c r="K362" s="487">
        <f t="shared" si="32"/>
        <v>48000</v>
      </c>
    </row>
    <row r="363" spans="1:11" ht="25.5" x14ac:dyDescent="0.2">
      <c r="A363" s="542">
        <v>1</v>
      </c>
      <c r="B363" s="374" t="s">
        <v>1611</v>
      </c>
      <c r="C363" s="374" t="s">
        <v>1612</v>
      </c>
      <c r="D363" s="435">
        <v>2160044</v>
      </c>
      <c r="E363" s="435">
        <v>817300</v>
      </c>
      <c r="F363" s="374" t="s">
        <v>1613</v>
      </c>
      <c r="G363" s="995" t="s">
        <v>1614</v>
      </c>
      <c r="H363" s="997">
        <v>0.5</v>
      </c>
      <c r="I363" s="998">
        <v>46103</v>
      </c>
      <c r="J363" s="997">
        <v>0.5</v>
      </c>
      <c r="K363" s="998">
        <v>66000</v>
      </c>
    </row>
    <row r="364" spans="1:11" ht="25.5" x14ac:dyDescent="0.2">
      <c r="A364" s="542">
        <v>1</v>
      </c>
      <c r="B364" s="374" t="s">
        <v>1615</v>
      </c>
      <c r="C364" s="374" t="s">
        <v>1387</v>
      </c>
      <c r="D364" s="435">
        <v>2982886</v>
      </c>
      <c r="E364" s="435">
        <v>817300</v>
      </c>
      <c r="F364" s="374" t="s">
        <v>1613</v>
      </c>
      <c r="G364" s="995" t="s">
        <v>1614</v>
      </c>
      <c r="H364" s="997">
        <v>0.5</v>
      </c>
      <c r="I364" s="998">
        <v>42885</v>
      </c>
      <c r="J364" s="997">
        <v>0.5</v>
      </c>
      <c r="K364" s="998">
        <v>70000</v>
      </c>
    </row>
    <row r="365" spans="1:11" ht="25.5" x14ac:dyDescent="0.2">
      <c r="A365" s="542">
        <v>1</v>
      </c>
      <c r="B365" s="374" t="s">
        <v>1616</v>
      </c>
      <c r="C365" s="374" t="s">
        <v>1617</v>
      </c>
      <c r="D365" s="435">
        <v>3290212</v>
      </c>
      <c r="E365" s="435">
        <v>817300</v>
      </c>
      <c r="F365" s="374" t="s">
        <v>1613</v>
      </c>
      <c r="G365" s="995" t="s">
        <v>1614</v>
      </c>
      <c r="H365" s="997">
        <v>0.5</v>
      </c>
      <c r="I365" s="998">
        <v>69722</v>
      </c>
      <c r="J365" s="997">
        <v>0.5</v>
      </c>
      <c r="K365" s="998">
        <v>60000</v>
      </c>
    </row>
    <row r="366" spans="1:11" ht="25.5" x14ac:dyDescent="0.2">
      <c r="A366" s="542">
        <v>1</v>
      </c>
      <c r="B366" s="374" t="s">
        <v>1618</v>
      </c>
      <c r="C366" s="374" t="s">
        <v>1619</v>
      </c>
      <c r="D366" s="435">
        <v>20046294</v>
      </c>
      <c r="E366" s="435">
        <v>817300</v>
      </c>
      <c r="F366" s="374" t="s">
        <v>1613</v>
      </c>
      <c r="G366" s="995" t="s">
        <v>1614</v>
      </c>
      <c r="H366" s="997">
        <v>0.4</v>
      </c>
      <c r="I366" s="998">
        <v>32890</v>
      </c>
      <c r="J366" s="997">
        <v>0.75</v>
      </c>
      <c r="K366" s="998">
        <v>170000</v>
      </c>
    </row>
    <row r="367" spans="1:11" ht="38.25" x14ac:dyDescent="0.2">
      <c r="A367" s="542">
        <v>1</v>
      </c>
      <c r="B367" s="374" t="s">
        <v>1620</v>
      </c>
      <c r="C367" s="374" t="s">
        <v>1621</v>
      </c>
      <c r="D367" s="435">
        <v>5702429</v>
      </c>
      <c r="E367" s="435">
        <v>817300</v>
      </c>
      <c r="F367" s="374" t="s">
        <v>1613</v>
      </c>
      <c r="G367" s="995" t="s">
        <v>1841</v>
      </c>
      <c r="H367" s="997">
        <v>0.75</v>
      </c>
      <c r="I367" s="998">
        <v>175590</v>
      </c>
      <c r="J367" s="997">
        <v>0.75</v>
      </c>
      <c r="K367" s="998">
        <v>81000</v>
      </c>
    </row>
    <row r="368" spans="1:11" ht="25.5" x14ac:dyDescent="0.2">
      <c r="A368" s="542">
        <v>1</v>
      </c>
      <c r="B368" s="374" t="s">
        <v>1068</v>
      </c>
      <c r="C368" s="374" t="s">
        <v>1622</v>
      </c>
      <c r="D368" s="435">
        <v>5944901</v>
      </c>
      <c r="E368" s="435">
        <v>817300</v>
      </c>
      <c r="F368" s="374" t="s">
        <v>1613</v>
      </c>
      <c r="G368" s="995" t="s">
        <v>1614</v>
      </c>
      <c r="H368" s="997">
        <v>0.75</v>
      </c>
      <c r="I368" s="998">
        <v>81807</v>
      </c>
      <c r="J368" s="997">
        <v>0.5</v>
      </c>
      <c r="K368" s="998">
        <v>64000</v>
      </c>
    </row>
    <row r="369" spans="1:11" ht="25.5" x14ac:dyDescent="0.2">
      <c r="A369" s="542">
        <v>1</v>
      </c>
      <c r="B369" s="374" t="s">
        <v>1623</v>
      </c>
      <c r="C369" s="374" t="s">
        <v>1624</v>
      </c>
      <c r="D369" s="435">
        <v>20060908</v>
      </c>
      <c r="E369" s="435">
        <v>817300</v>
      </c>
      <c r="F369" s="374" t="s">
        <v>1613</v>
      </c>
      <c r="G369" s="995" t="s">
        <v>1614</v>
      </c>
      <c r="H369" s="997">
        <v>0.5</v>
      </c>
      <c r="I369" s="998">
        <v>42260</v>
      </c>
      <c r="J369" s="997">
        <v>0.5</v>
      </c>
      <c r="K369" s="998">
        <v>66000</v>
      </c>
    </row>
    <row r="370" spans="1:11" ht="25.5" x14ac:dyDescent="0.2">
      <c r="A370" s="542">
        <v>1</v>
      </c>
      <c r="B370" s="374" t="s">
        <v>1625</v>
      </c>
      <c r="C370" s="374" t="s">
        <v>1507</v>
      </c>
      <c r="D370" s="435">
        <v>6604546</v>
      </c>
      <c r="E370" s="435">
        <v>817300</v>
      </c>
      <c r="F370" s="374" t="s">
        <v>1613</v>
      </c>
      <c r="G370" s="995" t="s">
        <v>1614</v>
      </c>
      <c r="H370" s="997">
        <v>0.5</v>
      </c>
      <c r="I370" s="998">
        <v>43615</v>
      </c>
      <c r="J370" s="997">
        <v>0.6</v>
      </c>
      <c r="K370" s="998">
        <v>68000</v>
      </c>
    </row>
    <row r="371" spans="1:11" ht="25.5" x14ac:dyDescent="0.2">
      <c r="A371" s="542"/>
      <c r="B371" s="374" t="s">
        <v>943</v>
      </c>
      <c r="C371" s="374" t="s">
        <v>1539</v>
      </c>
      <c r="D371" s="435">
        <v>20055794</v>
      </c>
      <c r="E371" s="435">
        <v>817300</v>
      </c>
      <c r="F371" s="374" t="s">
        <v>1613</v>
      </c>
      <c r="G371" s="995" t="s">
        <v>981</v>
      </c>
      <c r="H371" s="997">
        <v>0.2</v>
      </c>
      <c r="I371" s="998">
        <v>21600</v>
      </c>
      <c r="J371" s="997"/>
      <c r="K371" s="998"/>
    </row>
    <row r="372" spans="1:11" ht="25.5" x14ac:dyDescent="0.2">
      <c r="A372" s="542"/>
      <c r="B372" s="374" t="s">
        <v>1842</v>
      </c>
      <c r="C372" s="374" t="s">
        <v>1509</v>
      </c>
      <c r="D372" s="435">
        <v>9999999</v>
      </c>
      <c r="E372" s="435">
        <v>817300</v>
      </c>
      <c r="F372" s="374" t="s">
        <v>1613</v>
      </c>
      <c r="G372" s="995" t="s">
        <v>1614</v>
      </c>
      <c r="H372" s="997">
        <v>0.5</v>
      </c>
      <c r="I372" s="998">
        <f>16984+19018+9090+8788+18466</f>
        <v>72346</v>
      </c>
      <c r="J372" s="997"/>
      <c r="K372" s="998"/>
    </row>
    <row r="373" spans="1:11" ht="25.5" x14ac:dyDescent="0.2">
      <c r="A373" s="542"/>
      <c r="B373" s="374" t="s">
        <v>1052</v>
      </c>
      <c r="C373" s="374" t="s">
        <v>1843</v>
      </c>
      <c r="D373" s="435">
        <v>5054026</v>
      </c>
      <c r="E373" s="435">
        <v>817300</v>
      </c>
      <c r="F373" s="374" t="s">
        <v>1613</v>
      </c>
      <c r="G373" s="995" t="s">
        <v>981</v>
      </c>
      <c r="H373" s="997">
        <v>0.5</v>
      </c>
      <c r="I373" s="998">
        <v>71608</v>
      </c>
      <c r="J373" s="997">
        <v>0.5</v>
      </c>
      <c r="K373" s="998">
        <v>71608</v>
      </c>
    </row>
    <row r="374" spans="1:11" x14ac:dyDescent="0.2">
      <c r="A374" s="540" t="s">
        <v>1626</v>
      </c>
      <c r="B374" s="484"/>
      <c r="C374" s="484"/>
      <c r="D374" s="485"/>
      <c r="E374" s="485"/>
      <c r="F374" s="484"/>
      <c r="G374" s="484"/>
      <c r="H374" s="486">
        <f>SUM(H363:H373)</f>
        <v>5.6000000000000005</v>
      </c>
      <c r="I374" s="487">
        <f>SUM(I363:I373)</f>
        <v>700426</v>
      </c>
      <c r="J374" s="932">
        <f>SUM(J363:J373)</f>
        <v>5.0999999999999996</v>
      </c>
      <c r="K374" s="487">
        <f t="shared" ref="K374" si="33">SUM(K363:K373)</f>
        <v>716608</v>
      </c>
    </row>
    <row r="375" spans="1:11" ht="25.5" x14ac:dyDescent="0.2">
      <c r="A375" s="1012"/>
      <c r="B375" s="995" t="s">
        <v>1401</v>
      </c>
      <c r="C375" s="995" t="s">
        <v>1400</v>
      </c>
      <c r="D375" s="996">
        <v>5078925</v>
      </c>
      <c r="E375" s="996">
        <v>817600</v>
      </c>
      <c r="F375" s="995" t="s">
        <v>1627</v>
      </c>
      <c r="G375" s="995"/>
      <c r="H375" s="997"/>
      <c r="I375" s="998"/>
      <c r="J375" s="997"/>
      <c r="K375" s="998">
        <v>35000</v>
      </c>
    </row>
    <row r="376" spans="1:11" ht="25.5" x14ac:dyDescent="0.2">
      <c r="A376" s="1012">
        <v>1</v>
      </c>
      <c r="B376" s="995" t="s">
        <v>1430</v>
      </c>
      <c r="C376" s="995" t="s">
        <v>1431</v>
      </c>
      <c r="D376" s="996">
        <v>20440824</v>
      </c>
      <c r="E376" s="996">
        <v>817600</v>
      </c>
      <c r="F376" s="995" t="s">
        <v>1627</v>
      </c>
      <c r="G376" s="995" t="s">
        <v>1484</v>
      </c>
      <c r="H376" s="997">
        <v>0.2</v>
      </c>
      <c r="I376" s="998">
        <f>17452+9027+3328</f>
        <v>29807</v>
      </c>
      <c r="J376" s="997">
        <v>0.2</v>
      </c>
      <c r="K376" s="998">
        <v>30000</v>
      </c>
    </row>
    <row r="377" spans="1:11" ht="25.5" x14ac:dyDescent="0.2">
      <c r="A377" s="1012">
        <v>1</v>
      </c>
      <c r="B377" s="995" t="s">
        <v>975</v>
      </c>
      <c r="C377" s="995" t="s">
        <v>1396</v>
      </c>
      <c r="D377" s="996">
        <v>5250803</v>
      </c>
      <c r="E377" s="996">
        <v>817600</v>
      </c>
      <c r="F377" s="995" t="s">
        <v>1627</v>
      </c>
      <c r="G377" s="995" t="s">
        <v>1422</v>
      </c>
      <c r="H377" s="997">
        <v>1</v>
      </c>
      <c r="I377" s="998">
        <v>95105</v>
      </c>
      <c r="J377" s="997">
        <v>1</v>
      </c>
      <c r="K377" s="998">
        <v>95106</v>
      </c>
    </row>
    <row r="378" spans="1:11" ht="25.5" x14ac:dyDescent="0.2">
      <c r="A378" s="994">
        <v>1</v>
      </c>
      <c r="B378" s="995" t="s">
        <v>1459</v>
      </c>
      <c r="C378" s="995" t="s">
        <v>1460</v>
      </c>
      <c r="D378" s="996">
        <v>5703154</v>
      </c>
      <c r="E378" s="996">
        <v>812201</v>
      </c>
      <c r="F378" s="995" t="s">
        <v>1627</v>
      </c>
      <c r="G378" s="995"/>
      <c r="H378" s="997">
        <v>0.83</v>
      </c>
      <c r="I378" s="998">
        <v>75274</v>
      </c>
      <c r="J378" s="997">
        <v>0.83</v>
      </c>
      <c r="K378" s="998">
        <v>75215</v>
      </c>
    </row>
    <row r="379" spans="1:11" x14ac:dyDescent="0.2">
      <c r="A379" s="540" t="s">
        <v>1628</v>
      </c>
      <c r="B379" s="484"/>
      <c r="C379" s="484"/>
      <c r="D379" s="485"/>
      <c r="E379" s="485"/>
      <c r="F379" s="484"/>
      <c r="G379" s="484"/>
      <c r="H379" s="486">
        <f>SUM(H376:H378)</f>
        <v>2.0299999999999998</v>
      </c>
      <c r="I379" s="487">
        <f>SUM(I376:I378)</f>
        <v>200186</v>
      </c>
      <c r="J379" s="932">
        <f>SUM(J376:J378)</f>
        <v>2.0299999999999998</v>
      </c>
      <c r="K379" s="487">
        <f>SUM(K375:K378)</f>
        <v>235321</v>
      </c>
    </row>
    <row r="380" spans="1:11" ht="25.5" x14ac:dyDescent="0.2">
      <c r="A380" s="542">
        <v>1</v>
      </c>
      <c r="B380" s="374" t="s">
        <v>975</v>
      </c>
      <c r="C380" s="374" t="s">
        <v>1629</v>
      </c>
      <c r="D380" s="435">
        <v>2635430</v>
      </c>
      <c r="E380" s="435">
        <v>817700</v>
      </c>
      <c r="F380" s="374" t="s">
        <v>1605</v>
      </c>
      <c r="G380" s="374" t="s">
        <v>1630</v>
      </c>
      <c r="H380" s="466">
        <v>0.6</v>
      </c>
      <c r="I380" s="439">
        <v>68200</v>
      </c>
      <c r="J380" s="466">
        <v>0.6</v>
      </c>
      <c r="K380" s="439">
        <v>68200</v>
      </c>
    </row>
    <row r="381" spans="1:11" ht="25.5" x14ac:dyDescent="0.2">
      <c r="A381" s="542">
        <v>1</v>
      </c>
      <c r="B381" s="374" t="s">
        <v>936</v>
      </c>
      <c r="C381" s="374" t="s">
        <v>936</v>
      </c>
      <c r="D381" s="435">
        <v>999999</v>
      </c>
      <c r="E381" s="435">
        <v>817700</v>
      </c>
      <c r="F381" s="374" t="s">
        <v>1605</v>
      </c>
      <c r="G381" s="374" t="s">
        <v>1630</v>
      </c>
      <c r="H381" s="466">
        <v>0</v>
      </c>
      <c r="I381" s="439">
        <v>0</v>
      </c>
      <c r="J381" s="466">
        <v>0.5</v>
      </c>
      <c r="K381" s="439">
        <v>35000</v>
      </c>
    </row>
    <row r="382" spans="1:11" x14ac:dyDescent="0.2">
      <c r="A382" s="540" t="s">
        <v>1631</v>
      </c>
      <c r="B382" s="484"/>
      <c r="C382" s="484"/>
      <c r="D382" s="485"/>
      <c r="E382" s="485"/>
      <c r="F382" s="484"/>
      <c r="G382" s="484"/>
      <c r="H382" s="486">
        <f>SUM(H380:H381)</f>
        <v>0.6</v>
      </c>
      <c r="I382" s="487">
        <f>SUM(I380:I381)</f>
        <v>68200</v>
      </c>
      <c r="J382" s="931">
        <f t="shared" ref="J382:K382" si="34">SUM(J380:J381)</f>
        <v>1.1000000000000001</v>
      </c>
      <c r="K382" s="487">
        <f t="shared" si="34"/>
        <v>103200</v>
      </c>
    </row>
    <row r="383" spans="1:11" ht="25.5" x14ac:dyDescent="0.2">
      <c r="A383" s="542">
        <v>1</v>
      </c>
      <c r="B383" s="374" t="s">
        <v>1403</v>
      </c>
      <c r="C383" s="374" t="s">
        <v>1509</v>
      </c>
      <c r="D383" s="435">
        <v>999999999</v>
      </c>
      <c r="E383" s="435">
        <v>817800</v>
      </c>
      <c r="F383" s="374" t="s">
        <v>1632</v>
      </c>
      <c r="G383" s="374"/>
      <c r="H383" s="466">
        <v>0.5</v>
      </c>
      <c r="I383" s="439">
        <v>40442</v>
      </c>
      <c r="J383" s="466">
        <v>4</v>
      </c>
      <c r="K383" s="439">
        <v>172000</v>
      </c>
    </row>
    <row r="384" spans="1:11" x14ac:dyDescent="0.2">
      <c r="A384" s="540" t="s">
        <v>1633</v>
      </c>
      <c r="B384" s="484"/>
      <c r="C384" s="484"/>
      <c r="D384" s="485"/>
      <c r="E384" s="485"/>
      <c r="F384" s="484"/>
      <c r="G384" s="484"/>
      <c r="H384" s="486">
        <f>SUM(H383)</f>
        <v>0.5</v>
      </c>
      <c r="I384" s="487">
        <f t="shared" ref="I384:K384" si="35">SUM(I383)</f>
        <v>40442</v>
      </c>
      <c r="J384" s="487">
        <f t="shared" si="35"/>
        <v>4</v>
      </c>
      <c r="K384" s="487">
        <f t="shared" si="35"/>
        <v>172000</v>
      </c>
    </row>
    <row r="385" spans="1:11" x14ac:dyDescent="0.2">
      <c r="A385" s="542">
        <v>1</v>
      </c>
      <c r="B385" s="374" t="s">
        <v>939</v>
      </c>
      <c r="C385" s="374" t="s">
        <v>1522</v>
      </c>
      <c r="D385" s="435">
        <v>2346323</v>
      </c>
      <c r="E385" s="435">
        <v>817910</v>
      </c>
      <c r="F385" s="374" t="s">
        <v>1634</v>
      </c>
      <c r="G385" s="374"/>
      <c r="H385" s="466">
        <v>0.75</v>
      </c>
      <c r="I385" s="439">
        <v>84492</v>
      </c>
      <c r="J385" s="466">
        <v>0.75</v>
      </c>
      <c r="K385" s="439">
        <v>85000</v>
      </c>
    </row>
    <row r="386" spans="1:11" x14ac:dyDescent="0.2">
      <c r="A386" s="542">
        <v>1</v>
      </c>
      <c r="B386" s="374" t="s">
        <v>1005</v>
      </c>
      <c r="C386" s="374" t="s">
        <v>1635</v>
      </c>
      <c r="D386" s="435">
        <v>5443621</v>
      </c>
      <c r="E386" s="435">
        <v>817910</v>
      </c>
      <c r="F386" s="374" t="s">
        <v>1634</v>
      </c>
      <c r="G386" s="374"/>
      <c r="H386" s="466">
        <v>0.5</v>
      </c>
      <c r="I386" s="439">
        <v>55400</v>
      </c>
      <c r="J386" s="466">
        <v>0.5</v>
      </c>
      <c r="K386" s="439">
        <v>55600</v>
      </c>
    </row>
    <row r="387" spans="1:11" x14ac:dyDescent="0.2">
      <c r="A387" s="540" t="s">
        <v>1636</v>
      </c>
      <c r="B387" s="484"/>
      <c r="C387" s="484"/>
      <c r="D387" s="485"/>
      <c r="E387" s="485"/>
      <c r="F387" s="484"/>
      <c r="G387" s="484"/>
      <c r="H387" s="486">
        <f t="shared" ref="H387:K387" si="36">SUM(H385:H386)</f>
        <v>1.25</v>
      </c>
      <c r="I387" s="487">
        <f t="shared" si="36"/>
        <v>139892</v>
      </c>
      <c r="J387" s="932">
        <f t="shared" si="36"/>
        <v>1.25</v>
      </c>
      <c r="K387" s="487">
        <f t="shared" si="36"/>
        <v>140600</v>
      </c>
    </row>
    <row r="388" spans="1:11" x14ac:dyDescent="0.2">
      <c r="A388" s="924">
        <v>1</v>
      </c>
      <c r="B388" s="374" t="s">
        <v>924</v>
      </c>
      <c r="C388" s="374" t="s">
        <v>924</v>
      </c>
      <c r="D388" s="435">
        <v>5625888</v>
      </c>
      <c r="E388" s="435">
        <v>819000</v>
      </c>
      <c r="F388" s="374" t="s">
        <v>1038</v>
      </c>
      <c r="G388" s="374" t="s">
        <v>1041</v>
      </c>
      <c r="H388" s="466">
        <v>1</v>
      </c>
      <c r="I388" s="439">
        <v>211662</v>
      </c>
      <c r="J388" s="466">
        <v>1</v>
      </c>
      <c r="K388" s="439">
        <v>212000</v>
      </c>
    </row>
    <row r="389" spans="1:11" x14ac:dyDescent="0.2">
      <c r="A389" s="924">
        <v>1</v>
      </c>
      <c r="B389" s="374" t="s">
        <v>924</v>
      </c>
      <c r="C389" s="374" t="s">
        <v>1040</v>
      </c>
      <c r="D389" s="435">
        <v>6287487</v>
      </c>
      <c r="E389" s="435">
        <v>819000</v>
      </c>
      <c r="F389" s="374" t="s">
        <v>1038</v>
      </c>
      <c r="G389" s="374" t="s">
        <v>1044</v>
      </c>
      <c r="H389" s="466">
        <v>1</v>
      </c>
      <c r="I389" s="439">
        <v>125210</v>
      </c>
      <c r="J389" s="466">
        <v>1</v>
      </c>
      <c r="K389" s="439">
        <v>126000</v>
      </c>
    </row>
    <row r="390" spans="1:11" x14ac:dyDescent="0.2">
      <c r="A390" s="924">
        <v>1</v>
      </c>
      <c r="B390" s="374" t="s">
        <v>1045</v>
      </c>
      <c r="C390" s="374" t="s">
        <v>1046</v>
      </c>
      <c r="D390" s="435">
        <v>3981145</v>
      </c>
      <c r="E390" s="435">
        <v>819000</v>
      </c>
      <c r="F390" s="374" t="s">
        <v>1038</v>
      </c>
      <c r="G390" s="374"/>
      <c r="H390" s="466">
        <v>0.75</v>
      </c>
      <c r="I390" s="439">
        <v>74315</v>
      </c>
      <c r="J390" s="466">
        <v>0.75</v>
      </c>
      <c r="K390" s="439">
        <v>75000</v>
      </c>
    </row>
    <row r="391" spans="1:11" x14ac:dyDescent="0.2">
      <c r="A391" s="540" t="s">
        <v>1637</v>
      </c>
      <c r="B391" s="484"/>
      <c r="C391" s="484"/>
      <c r="D391" s="485"/>
      <c r="E391" s="485"/>
      <c r="F391" s="484"/>
      <c r="G391" s="484"/>
      <c r="H391" s="486">
        <f t="shared" ref="H391:K391" si="37">SUM(H388:H390)</f>
        <v>2.75</v>
      </c>
      <c r="I391" s="487">
        <f t="shared" si="37"/>
        <v>411187</v>
      </c>
      <c r="J391" s="932">
        <f t="shared" si="37"/>
        <v>2.75</v>
      </c>
      <c r="K391" s="487">
        <f t="shared" si="37"/>
        <v>413000</v>
      </c>
    </row>
    <row r="392" spans="1:11" ht="18.75" x14ac:dyDescent="0.2">
      <c r="A392" s="920" t="s">
        <v>47</v>
      </c>
      <c r="B392" s="921"/>
      <c r="C392" s="921"/>
      <c r="D392" s="921"/>
      <c r="E392" s="921"/>
      <c r="F392" s="921"/>
      <c r="G392" s="742"/>
      <c r="H392" s="376">
        <f t="shared" ref="H392:I392" si="38">H172+H202+H223+H227+H236+H241+H244+H247+H249+H251+H257+H265+H285+H287+H302+H313+H334+H354+H356+H358+H360+H362+H374+H379+H382+H384+H387+H391</f>
        <v>152.68176470588233</v>
      </c>
      <c r="I392" s="376">
        <f t="shared" si="38"/>
        <v>10657736</v>
      </c>
      <c r="J392" s="376">
        <f>J172+J202+J223+J227+J236+J241+J244+J247+J249+J251+J257+J265+J285+J287+J302+J313+J334+J354+J356+J358+J360+J362+J374+J379+J382+J384+J387+J391</f>
        <v>102.74117647058823</v>
      </c>
      <c r="K392" s="375">
        <f>K172+K202+K223+K227+K236+K241+K244+K247+K249+K251+K257+K265+K285+K287+K302+K313+K334+K354+K356+K358+K360+K362+K374+K379+K382+K384+K387+K391</f>
        <v>11021975</v>
      </c>
    </row>
    <row r="393" spans="1:11" ht="51" x14ac:dyDescent="0.2">
      <c r="A393" s="782">
        <v>1</v>
      </c>
      <c r="B393" s="444" t="s">
        <v>1640</v>
      </c>
      <c r="C393" s="444" t="s">
        <v>1641</v>
      </c>
      <c r="D393" s="445">
        <v>5515873</v>
      </c>
      <c r="E393" s="445">
        <v>841000</v>
      </c>
      <c r="F393" s="462" t="s">
        <v>1642</v>
      </c>
      <c r="G393" s="444" t="s">
        <v>1643</v>
      </c>
      <c r="H393" s="469">
        <v>1</v>
      </c>
      <c r="I393" s="446">
        <v>183535</v>
      </c>
      <c r="J393" s="469">
        <v>1</v>
      </c>
      <c r="K393" s="446">
        <v>184000</v>
      </c>
    </row>
    <row r="394" spans="1:11" ht="25.5" x14ac:dyDescent="0.2">
      <c r="A394" s="782">
        <v>1</v>
      </c>
      <c r="B394" s="444" t="s">
        <v>924</v>
      </c>
      <c r="C394" s="444" t="s">
        <v>1644</v>
      </c>
      <c r="D394" s="445">
        <v>3276197</v>
      </c>
      <c r="E394" s="445">
        <v>841000</v>
      </c>
      <c r="F394" s="444" t="s">
        <v>1645</v>
      </c>
      <c r="G394" s="444" t="s">
        <v>1646</v>
      </c>
      <c r="H394" s="469">
        <v>0.5</v>
      </c>
      <c r="I394" s="446">
        <v>112000</v>
      </c>
      <c r="J394" s="469">
        <v>0.5</v>
      </c>
      <c r="K394" s="446">
        <v>112000</v>
      </c>
    </row>
    <row r="395" spans="1:11" ht="51" x14ac:dyDescent="0.2">
      <c r="A395" s="782">
        <v>1</v>
      </c>
      <c r="B395" s="444" t="s">
        <v>924</v>
      </c>
      <c r="C395" s="444" t="s">
        <v>1644</v>
      </c>
      <c r="D395" s="445">
        <v>3276197</v>
      </c>
      <c r="E395" s="445">
        <v>841000</v>
      </c>
      <c r="F395" s="462" t="s">
        <v>1647</v>
      </c>
      <c r="G395" s="462" t="s">
        <v>1648</v>
      </c>
      <c r="H395" s="469">
        <v>0.5</v>
      </c>
      <c r="I395" s="446">
        <f>146754-I394</f>
        <v>34754</v>
      </c>
      <c r="J395" s="469">
        <v>0.5</v>
      </c>
      <c r="K395" s="446">
        <v>75000</v>
      </c>
    </row>
    <row r="396" spans="1:11" ht="38.25" x14ac:dyDescent="0.2">
      <c r="A396" s="782">
        <v>1</v>
      </c>
      <c r="B396" s="444" t="s">
        <v>975</v>
      </c>
      <c r="C396" s="444" t="s">
        <v>1621</v>
      </c>
      <c r="D396" s="806">
        <v>2826156</v>
      </c>
      <c r="E396" s="445">
        <v>841000</v>
      </c>
      <c r="F396" s="462" t="s">
        <v>1650</v>
      </c>
      <c r="G396" s="444" t="s">
        <v>1650</v>
      </c>
      <c r="H396" s="469">
        <v>1</v>
      </c>
      <c r="I396" s="446">
        <v>152076</v>
      </c>
      <c r="J396" s="469">
        <v>1</v>
      </c>
      <c r="K396" s="446">
        <v>156000</v>
      </c>
    </row>
    <row r="397" spans="1:11" ht="38.25" x14ac:dyDescent="0.2">
      <c r="A397" s="782">
        <v>1</v>
      </c>
      <c r="B397" s="444" t="s">
        <v>1374</v>
      </c>
      <c r="C397" s="444" t="s">
        <v>1117</v>
      </c>
      <c r="D397" s="445">
        <v>6128021</v>
      </c>
      <c r="E397" s="445">
        <v>841000</v>
      </c>
      <c r="F397" s="462" t="s">
        <v>1652</v>
      </c>
      <c r="G397" s="444" t="s">
        <v>1652</v>
      </c>
      <c r="H397" s="469">
        <v>1</v>
      </c>
      <c r="I397" s="446">
        <v>116825</v>
      </c>
      <c r="J397" s="469">
        <v>1</v>
      </c>
      <c r="K397" s="446">
        <v>115000</v>
      </c>
    </row>
    <row r="398" spans="1:11" ht="51" x14ac:dyDescent="0.2">
      <c r="A398" s="782">
        <v>1</v>
      </c>
      <c r="B398" s="1020" t="s">
        <v>1653</v>
      </c>
      <c r="C398" s="1020" t="s">
        <v>1654</v>
      </c>
      <c r="D398" s="922">
        <v>30095375</v>
      </c>
      <c r="E398" s="922">
        <v>841000</v>
      </c>
      <c r="F398" s="462" t="s">
        <v>1655</v>
      </c>
      <c r="G398" s="462" t="s">
        <v>1656</v>
      </c>
      <c r="H398" s="469">
        <v>1</v>
      </c>
      <c r="I398" s="446">
        <v>154494</v>
      </c>
      <c r="J398" s="469">
        <v>1</v>
      </c>
      <c r="K398" s="446">
        <v>154000</v>
      </c>
    </row>
    <row r="399" spans="1:11" ht="25.5" x14ac:dyDescent="0.2">
      <c r="A399" s="1016">
        <v>1</v>
      </c>
      <c r="B399" s="444" t="s">
        <v>1657</v>
      </c>
      <c r="C399" s="444" t="s">
        <v>1402</v>
      </c>
      <c r="D399" s="445">
        <v>5239197</v>
      </c>
      <c r="E399" s="445">
        <v>841000</v>
      </c>
      <c r="F399" s="444" t="s">
        <v>1658</v>
      </c>
      <c r="G399" s="444" t="s">
        <v>1658</v>
      </c>
      <c r="H399" s="1017">
        <v>0.5</v>
      </c>
      <c r="I399" s="1019">
        <v>99812</v>
      </c>
      <c r="J399" s="1017">
        <v>0.5</v>
      </c>
      <c r="K399" s="1019">
        <v>110000</v>
      </c>
    </row>
    <row r="400" spans="1:11" ht="25.5" x14ac:dyDescent="0.2">
      <c r="A400" s="1016">
        <v>1</v>
      </c>
      <c r="B400" s="444" t="s">
        <v>1111</v>
      </c>
      <c r="C400" s="444" t="s">
        <v>1463</v>
      </c>
      <c r="D400" s="445">
        <v>5755856</v>
      </c>
      <c r="E400" s="445">
        <v>841000</v>
      </c>
      <c r="F400" s="444" t="s">
        <v>1801</v>
      </c>
      <c r="G400" s="444" t="s">
        <v>1659</v>
      </c>
      <c r="H400" s="1017">
        <v>0.5</v>
      </c>
      <c r="I400" s="1019">
        <v>60351</v>
      </c>
      <c r="J400" s="1017">
        <v>0.5</v>
      </c>
      <c r="K400" s="1019">
        <v>65000</v>
      </c>
    </row>
    <row r="401" spans="1:11" ht="38.25" x14ac:dyDescent="0.2">
      <c r="A401" s="782">
        <v>1</v>
      </c>
      <c r="B401" s="444" t="s">
        <v>949</v>
      </c>
      <c r="C401" s="444" t="s">
        <v>1800</v>
      </c>
      <c r="D401" s="445"/>
      <c r="E401" s="445">
        <v>841000</v>
      </c>
      <c r="F401" s="462" t="s">
        <v>1660</v>
      </c>
      <c r="G401" s="462" t="s">
        <v>1661</v>
      </c>
      <c r="H401" s="469">
        <v>0.5</v>
      </c>
      <c r="I401" s="446">
        <v>0</v>
      </c>
      <c r="J401" s="469">
        <v>0.5</v>
      </c>
      <c r="K401" s="446">
        <v>80000</v>
      </c>
    </row>
    <row r="402" spans="1:11" ht="38.25" x14ac:dyDescent="0.2">
      <c r="A402" s="782">
        <v>1</v>
      </c>
      <c r="B402" s="444" t="s">
        <v>1662</v>
      </c>
      <c r="C402" s="444" t="s">
        <v>1519</v>
      </c>
      <c r="D402" s="445">
        <v>2618465</v>
      </c>
      <c r="E402" s="445">
        <v>841000</v>
      </c>
      <c r="F402" s="462" t="s">
        <v>1663</v>
      </c>
      <c r="G402" s="462" t="s">
        <v>1656</v>
      </c>
      <c r="H402" s="469">
        <v>0.5</v>
      </c>
      <c r="I402" s="446">
        <v>60000</v>
      </c>
      <c r="J402" s="469">
        <v>0.5</v>
      </c>
      <c r="K402" s="446">
        <v>60000</v>
      </c>
    </row>
    <row r="403" spans="1:11" ht="63.75" x14ac:dyDescent="0.2">
      <c r="A403" s="782">
        <v>1</v>
      </c>
      <c r="B403" s="444" t="s">
        <v>1662</v>
      </c>
      <c r="C403" s="444" t="s">
        <v>1519</v>
      </c>
      <c r="D403" s="445">
        <v>2618465</v>
      </c>
      <c r="E403" s="445">
        <v>841000</v>
      </c>
      <c r="F403" s="462" t="s">
        <v>1665</v>
      </c>
      <c r="G403" s="462" t="s">
        <v>1666</v>
      </c>
      <c r="H403" s="469">
        <v>0.5</v>
      </c>
      <c r="I403" s="446">
        <v>55000</v>
      </c>
      <c r="J403" s="469">
        <v>0.5</v>
      </c>
      <c r="K403" s="446">
        <v>60000</v>
      </c>
    </row>
    <row r="404" spans="1:11" ht="38.25" x14ac:dyDescent="0.2">
      <c r="A404" s="782">
        <v>1</v>
      </c>
      <c r="B404" s="444" t="s">
        <v>1111</v>
      </c>
      <c r="C404" s="444" t="s">
        <v>1463</v>
      </c>
      <c r="D404" s="445">
        <v>5755856</v>
      </c>
      <c r="E404" s="445">
        <v>841000</v>
      </c>
      <c r="F404" s="462" t="s">
        <v>1668</v>
      </c>
      <c r="G404" s="462" t="s">
        <v>1669</v>
      </c>
      <c r="H404" s="469">
        <v>0.5</v>
      </c>
      <c r="I404" s="446">
        <v>0</v>
      </c>
      <c r="J404" s="469">
        <v>0.5</v>
      </c>
      <c r="K404" s="446">
        <v>54000</v>
      </c>
    </row>
    <row r="405" spans="1:11" ht="25.5" x14ac:dyDescent="0.2">
      <c r="A405" s="782">
        <v>1</v>
      </c>
      <c r="B405" s="444" t="s">
        <v>1077</v>
      </c>
      <c r="C405" s="444" t="s">
        <v>1078</v>
      </c>
      <c r="D405" s="445">
        <v>5996497</v>
      </c>
      <c r="E405" s="445">
        <v>841000</v>
      </c>
      <c r="F405" s="462" t="s">
        <v>1670</v>
      </c>
      <c r="G405" s="444" t="s">
        <v>1671</v>
      </c>
      <c r="H405" s="469">
        <v>0.75</v>
      </c>
      <c r="I405" s="446">
        <v>79974</v>
      </c>
      <c r="J405" s="469">
        <v>0.75</v>
      </c>
      <c r="K405" s="446">
        <v>90000</v>
      </c>
    </row>
    <row r="406" spans="1:11" ht="38.25" x14ac:dyDescent="0.2">
      <c r="A406" s="782">
        <v>1</v>
      </c>
      <c r="B406" s="444" t="s">
        <v>1802</v>
      </c>
      <c r="C406" s="444" t="s">
        <v>1803</v>
      </c>
      <c r="D406" s="806">
        <v>30854360</v>
      </c>
      <c r="E406" s="445">
        <v>841000</v>
      </c>
      <c r="F406" s="462" t="s">
        <v>1804</v>
      </c>
      <c r="G406" s="444" t="s">
        <v>1495</v>
      </c>
      <c r="H406" s="469">
        <v>0.5</v>
      </c>
      <c r="I406" s="446">
        <v>0</v>
      </c>
      <c r="J406" s="469">
        <v>1.5</v>
      </c>
      <c r="K406" s="446">
        <v>60000</v>
      </c>
    </row>
    <row r="407" spans="1:11" x14ac:dyDescent="0.2">
      <c r="A407" s="782"/>
      <c r="B407" s="444"/>
      <c r="C407" s="444"/>
      <c r="D407" s="445"/>
      <c r="E407" s="445"/>
      <c r="F407" s="462"/>
      <c r="G407" s="444"/>
      <c r="H407" s="469"/>
      <c r="I407" s="446"/>
      <c r="J407" s="469"/>
      <c r="K407" s="446"/>
    </row>
    <row r="408" spans="1:11" x14ac:dyDescent="0.2">
      <c r="A408" s="782"/>
      <c r="B408" s="444" t="s">
        <v>1822</v>
      </c>
      <c r="C408" s="444" t="s">
        <v>1458</v>
      </c>
      <c r="D408" s="445">
        <v>3317534</v>
      </c>
      <c r="E408" s="445">
        <v>841000</v>
      </c>
      <c r="F408" s="462" t="s">
        <v>1671</v>
      </c>
      <c r="G408" s="444" t="s">
        <v>1671</v>
      </c>
      <c r="H408" s="469">
        <v>0</v>
      </c>
      <c r="I408" s="446">
        <v>97285</v>
      </c>
      <c r="J408" s="469">
        <v>0</v>
      </c>
      <c r="K408" s="446">
        <v>0</v>
      </c>
    </row>
    <row r="409" spans="1:11" x14ac:dyDescent="0.2">
      <c r="A409" s="782"/>
      <c r="B409" s="444" t="s">
        <v>1823</v>
      </c>
      <c r="C409" s="444" t="s">
        <v>1824</v>
      </c>
      <c r="D409" s="445">
        <v>3311181</v>
      </c>
      <c r="E409" s="445">
        <v>841000</v>
      </c>
      <c r="F409" s="462" t="s">
        <v>1671</v>
      </c>
      <c r="G409" s="444" t="s">
        <v>1671</v>
      </c>
      <c r="H409" s="469">
        <v>0</v>
      </c>
      <c r="I409" s="446">
        <f>9514</f>
        <v>9514</v>
      </c>
      <c r="J409" s="469">
        <v>0</v>
      </c>
      <c r="K409" s="446">
        <v>0</v>
      </c>
    </row>
    <row r="410" spans="1:11" x14ac:dyDescent="0.2">
      <c r="A410" s="782"/>
      <c r="B410" s="444" t="s">
        <v>1825</v>
      </c>
      <c r="C410" s="444" t="s">
        <v>1826</v>
      </c>
      <c r="D410" s="445">
        <v>30249753</v>
      </c>
      <c r="E410" s="445">
        <v>841000</v>
      </c>
      <c r="F410" s="462" t="s">
        <v>1671</v>
      </c>
      <c r="G410" s="444" t="s">
        <v>1671</v>
      </c>
      <c r="H410" s="469">
        <v>0</v>
      </c>
      <c r="I410" s="446">
        <f>55777+29021</f>
        <v>84798</v>
      </c>
      <c r="J410" s="469">
        <v>0</v>
      </c>
      <c r="K410" s="446">
        <v>0</v>
      </c>
    </row>
    <row r="411" spans="1:11" x14ac:dyDescent="0.2">
      <c r="A411" s="782">
        <v>1</v>
      </c>
      <c r="B411" s="444" t="s">
        <v>1356</v>
      </c>
      <c r="C411" s="444" t="s">
        <v>1501</v>
      </c>
      <c r="D411" s="445"/>
      <c r="E411" s="445"/>
      <c r="F411" s="462" t="s">
        <v>1671</v>
      </c>
      <c r="G411" s="444" t="s">
        <v>1673</v>
      </c>
      <c r="H411" s="469">
        <v>0.33</v>
      </c>
      <c r="I411" s="446">
        <v>0</v>
      </c>
      <c r="J411" s="469">
        <v>0.33</v>
      </c>
      <c r="K411" s="446">
        <v>39600</v>
      </c>
    </row>
    <row r="412" spans="1:11" x14ac:dyDescent="0.2">
      <c r="A412" s="782">
        <v>1</v>
      </c>
      <c r="B412" s="444" t="s">
        <v>1403</v>
      </c>
      <c r="C412" s="444" t="s">
        <v>1501</v>
      </c>
      <c r="D412" s="445">
        <v>9999999</v>
      </c>
      <c r="E412" s="445">
        <v>841000</v>
      </c>
      <c r="F412" s="462" t="s">
        <v>1672</v>
      </c>
      <c r="G412" s="444" t="s">
        <v>1673</v>
      </c>
      <c r="H412" s="469">
        <v>2.58</v>
      </c>
      <c r="I412" s="446">
        <v>0</v>
      </c>
      <c r="J412" s="469">
        <v>2.58</v>
      </c>
      <c r="K412" s="446">
        <v>323933</v>
      </c>
    </row>
    <row r="413" spans="1:11" ht="25.5" x14ac:dyDescent="0.2">
      <c r="A413" s="782">
        <v>1</v>
      </c>
      <c r="B413" s="444" t="s">
        <v>1817</v>
      </c>
      <c r="C413" s="444" t="s">
        <v>1818</v>
      </c>
      <c r="D413" s="445">
        <v>9999999</v>
      </c>
      <c r="E413" s="445">
        <v>841000</v>
      </c>
      <c r="F413" s="462" t="s">
        <v>1672</v>
      </c>
      <c r="G413" s="444" t="s">
        <v>1673</v>
      </c>
      <c r="H413" s="469">
        <v>2</v>
      </c>
      <c r="I413" s="446">
        <v>0</v>
      </c>
      <c r="J413" s="469">
        <v>2</v>
      </c>
      <c r="K413" s="446">
        <v>250000</v>
      </c>
    </row>
    <row r="414" spans="1:11" x14ac:dyDescent="0.2">
      <c r="A414" s="786"/>
      <c r="B414" s="489"/>
      <c r="C414" s="489"/>
      <c r="D414" s="490"/>
      <c r="E414" s="490"/>
      <c r="F414" s="489"/>
      <c r="G414" s="489"/>
      <c r="H414" s="491"/>
      <c r="I414" s="492">
        <f>SUM(I393:I413)</f>
        <v>1300418</v>
      </c>
      <c r="J414" s="491">
        <f>SUM(J393:J413)</f>
        <v>15.16</v>
      </c>
      <c r="K414" s="492">
        <f>SUM(K393:K413)</f>
        <v>1988533</v>
      </c>
    </row>
    <row r="415" spans="1:11" ht="51" x14ac:dyDescent="0.2">
      <c r="A415" s="782">
        <v>1</v>
      </c>
      <c r="B415" s="444" t="s">
        <v>1675</v>
      </c>
      <c r="C415" s="444" t="s">
        <v>1394</v>
      </c>
      <c r="D415" s="445">
        <v>3429196</v>
      </c>
      <c r="E415" s="445">
        <v>841001</v>
      </c>
      <c r="F415" s="462" t="s">
        <v>1676</v>
      </c>
      <c r="G415" s="444" t="s">
        <v>1677</v>
      </c>
      <c r="H415" s="469">
        <v>0.8</v>
      </c>
      <c r="I415" s="446">
        <v>86466</v>
      </c>
      <c r="J415" s="469">
        <v>0.8</v>
      </c>
      <c r="K415" s="446">
        <v>86000</v>
      </c>
    </row>
    <row r="416" spans="1:11" ht="51" x14ac:dyDescent="0.2">
      <c r="A416" s="1016">
        <v>1</v>
      </c>
      <c r="B416" s="444" t="s">
        <v>1392</v>
      </c>
      <c r="C416" s="444" t="s">
        <v>1051</v>
      </c>
      <c r="D416" s="445">
        <v>5440403</v>
      </c>
      <c r="E416" s="445">
        <v>841001</v>
      </c>
      <c r="F416" s="444" t="s">
        <v>1678</v>
      </c>
      <c r="G416" s="444" t="s">
        <v>1592</v>
      </c>
      <c r="H416" s="1017">
        <v>1</v>
      </c>
      <c r="I416" s="1019">
        <v>104252</v>
      </c>
      <c r="J416" s="1017">
        <v>1</v>
      </c>
      <c r="K416" s="1019">
        <v>98000</v>
      </c>
    </row>
    <row r="417" spans="1:11" ht="63.75" x14ac:dyDescent="0.2">
      <c r="A417" s="782">
        <v>1</v>
      </c>
      <c r="B417" s="444" t="s">
        <v>1432</v>
      </c>
      <c r="C417" s="444" t="s">
        <v>1679</v>
      </c>
      <c r="D417" s="445">
        <v>5817510</v>
      </c>
      <c r="E417" s="445">
        <v>841001</v>
      </c>
      <c r="F417" s="444" t="s">
        <v>1680</v>
      </c>
      <c r="G417" s="444" t="s">
        <v>1681</v>
      </c>
      <c r="H417" s="469">
        <v>1</v>
      </c>
      <c r="I417" s="446">
        <v>129548</v>
      </c>
      <c r="J417" s="469">
        <v>1</v>
      </c>
      <c r="K417" s="446">
        <v>130000</v>
      </c>
    </row>
    <row r="418" spans="1:11" ht="38.25" x14ac:dyDescent="0.2">
      <c r="A418" s="782">
        <v>1</v>
      </c>
      <c r="B418" s="444" t="s">
        <v>955</v>
      </c>
      <c r="C418" s="444" t="s">
        <v>1682</v>
      </c>
      <c r="D418" s="445">
        <v>5934908</v>
      </c>
      <c r="E418" s="445">
        <v>841001</v>
      </c>
      <c r="F418" s="444" t="s">
        <v>1683</v>
      </c>
      <c r="G418" s="444" t="s">
        <v>981</v>
      </c>
      <c r="H418" s="469">
        <v>0.83</v>
      </c>
      <c r="I418" s="446">
        <v>76650</v>
      </c>
      <c r="J418" s="469">
        <v>0.83</v>
      </c>
      <c r="K418" s="446">
        <v>76000</v>
      </c>
    </row>
    <row r="419" spans="1:11" x14ac:dyDescent="0.2">
      <c r="A419" s="786"/>
      <c r="B419" s="489"/>
      <c r="C419" s="489"/>
      <c r="D419" s="490"/>
      <c r="E419" s="490"/>
      <c r="F419" s="489"/>
      <c r="G419" s="489"/>
      <c r="H419" s="491"/>
      <c r="I419" s="492">
        <f>SUM(I415:I418)</f>
        <v>396916</v>
      </c>
      <c r="J419" s="492">
        <f>SUM(J415:J418)</f>
        <v>3.63</v>
      </c>
      <c r="K419" s="492">
        <f>SUM(K415:K418)</f>
        <v>390000</v>
      </c>
    </row>
    <row r="420" spans="1:11" ht="38.25" x14ac:dyDescent="0.2">
      <c r="A420" s="782">
        <v>1</v>
      </c>
      <c r="B420" s="444" t="s">
        <v>1432</v>
      </c>
      <c r="C420" s="444" t="s">
        <v>1684</v>
      </c>
      <c r="D420" s="445">
        <v>2815747</v>
      </c>
      <c r="E420" s="445">
        <v>841300</v>
      </c>
      <c r="F420" s="444" t="s">
        <v>1685</v>
      </c>
      <c r="G420" s="444" t="s">
        <v>1686</v>
      </c>
      <c r="H420" s="469">
        <v>0.6</v>
      </c>
      <c r="I420" s="446">
        <v>57285</v>
      </c>
      <c r="J420" s="469">
        <v>0.6</v>
      </c>
      <c r="K420" s="446">
        <v>57285</v>
      </c>
    </row>
    <row r="421" spans="1:11" ht="38.25" x14ac:dyDescent="0.2">
      <c r="A421" s="782"/>
      <c r="B421" s="444" t="s">
        <v>975</v>
      </c>
      <c r="C421" s="444" t="s">
        <v>1827</v>
      </c>
      <c r="D421" s="445">
        <v>2750780</v>
      </c>
      <c r="E421" s="445">
        <v>841300</v>
      </c>
      <c r="F421" s="444" t="s">
        <v>1685</v>
      </c>
      <c r="G421" s="444" t="s">
        <v>1044</v>
      </c>
      <c r="H421" s="469">
        <v>0</v>
      </c>
      <c r="I421" s="446">
        <v>73475</v>
      </c>
      <c r="J421" s="469">
        <v>0</v>
      </c>
      <c r="K421" s="446">
        <v>0</v>
      </c>
    </row>
    <row r="422" spans="1:11" ht="38.25" x14ac:dyDescent="0.2">
      <c r="A422" s="1016">
        <v>1</v>
      </c>
      <c r="B422" s="444" t="s">
        <v>1135</v>
      </c>
      <c r="C422" s="444" t="s">
        <v>1394</v>
      </c>
      <c r="D422" s="445">
        <v>2824491</v>
      </c>
      <c r="E422" s="445">
        <v>845200</v>
      </c>
      <c r="F422" s="444" t="s">
        <v>1685</v>
      </c>
      <c r="G422" s="444" t="s">
        <v>1044</v>
      </c>
      <c r="H422" s="1017">
        <v>0.8</v>
      </c>
      <c r="I422" s="1019">
        <v>0</v>
      </c>
      <c r="J422" s="1017">
        <v>0.8</v>
      </c>
      <c r="K422" s="1019">
        <v>30000</v>
      </c>
    </row>
    <row r="423" spans="1:11" x14ac:dyDescent="0.2">
      <c r="A423" s="548"/>
      <c r="B423" s="489"/>
      <c r="C423" s="489"/>
      <c r="D423" s="490"/>
      <c r="E423" s="490"/>
      <c r="F423" s="489"/>
      <c r="G423" s="489"/>
      <c r="H423" s="491"/>
      <c r="I423" s="492">
        <f>SUM(I420:I422)</f>
        <v>130760</v>
      </c>
      <c r="J423" s="492">
        <f>SUM(J420:J422)</f>
        <v>1.4</v>
      </c>
      <c r="K423" s="492">
        <f>SUM(K420:K422)</f>
        <v>87285</v>
      </c>
    </row>
    <row r="424" spans="1:11" ht="38.25" x14ac:dyDescent="0.2">
      <c r="A424" s="782">
        <v>24</v>
      </c>
      <c r="B424" s="444" t="s">
        <v>990</v>
      </c>
      <c r="C424" s="444" t="s">
        <v>1499</v>
      </c>
      <c r="D424" s="445">
        <v>30101448</v>
      </c>
      <c r="E424" s="445">
        <v>841400</v>
      </c>
      <c r="F424" s="444" t="s">
        <v>1687</v>
      </c>
      <c r="G424" s="444" t="s">
        <v>966</v>
      </c>
      <c r="H424" s="469" t="s">
        <v>1047</v>
      </c>
      <c r="I424" s="446">
        <v>0</v>
      </c>
      <c r="J424" s="469" t="s">
        <v>1047</v>
      </c>
      <c r="K424" s="446">
        <v>0</v>
      </c>
    </row>
    <row r="425" spans="1:11" x14ac:dyDescent="0.2">
      <c r="A425" s="546"/>
      <c r="B425" s="447"/>
      <c r="C425" s="447"/>
      <c r="D425" s="448"/>
      <c r="E425" s="448"/>
      <c r="F425" s="447"/>
      <c r="G425" s="447"/>
      <c r="H425" s="470"/>
      <c r="I425" s="449"/>
      <c r="J425" s="470"/>
      <c r="K425" s="449"/>
    </row>
    <row r="426" spans="1:11" ht="25.5" x14ac:dyDescent="0.2">
      <c r="A426" s="1016">
        <v>1</v>
      </c>
      <c r="B426" s="444" t="s">
        <v>1135</v>
      </c>
      <c r="C426" s="444" t="s">
        <v>1394</v>
      </c>
      <c r="D426" s="445">
        <v>2824491</v>
      </c>
      <c r="E426" s="445">
        <v>845200</v>
      </c>
      <c r="F426" s="444" t="s">
        <v>1688</v>
      </c>
      <c r="G426" s="444" t="s">
        <v>1689</v>
      </c>
      <c r="H426" s="1017">
        <v>0.6</v>
      </c>
      <c r="I426" s="1019">
        <v>70000</v>
      </c>
      <c r="J426" s="1017">
        <v>0.6</v>
      </c>
      <c r="K426" s="1019">
        <v>40000</v>
      </c>
    </row>
    <row r="427" spans="1:11" ht="25.5" x14ac:dyDescent="0.2">
      <c r="A427" s="1016">
        <v>1</v>
      </c>
      <c r="B427" s="444" t="s">
        <v>1395</v>
      </c>
      <c r="C427" s="444" t="s">
        <v>1396</v>
      </c>
      <c r="D427" s="445">
        <v>5703234</v>
      </c>
      <c r="E427" s="445">
        <v>845200</v>
      </c>
      <c r="F427" s="444" t="s">
        <v>1688</v>
      </c>
      <c r="G427" s="444" t="s">
        <v>1690</v>
      </c>
      <c r="H427" s="1017">
        <v>0.6</v>
      </c>
      <c r="I427" s="1019">
        <v>56900</v>
      </c>
      <c r="J427" s="1017">
        <v>0.6</v>
      </c>
      <c r="K427" s="1019">
        <v>65000</v>
      </c>
    </row>
    <row r="428" spans="1:11" ht="25.5" x14ac:dyDescent="0.2">
      <c r="A428" s="1016">
        <v>1</v>
      </c>
      <c r="B428" s="444" t="s">
        <v>1398</v>
      </c>
      <c r="C428" s="444" t="s">
        <v>1691</v>
      </c>
      <c r="D428" s="445">
        <v>5760408</v>
      </c>
      <c r="E428" s="445">
        <v>845200</v>
      </c>
      <c r="F428" s="444" t="s">
        <v>1688</v>
      </c>
      <c r="G428" s="444" t="s">
        <v>1692</v>
      </c>
      <c r="H428" s="1017">
        <v>1</v>
      </c>
      <c r="I428" s="1019">
        <v>180000</v>
      </c>
      <c r="J428" s="1017">
        <v>1</v>
      </c>
      <c r="K428" s="1019">
        <v>180000</v>
      </c>
    </row>
    <row r="429" spans="1:11" ht="25.5" x14ac:dyDescent="0.2">
      <c r="A429" s="1016">
        <v>1</v>
      </c>
      <c r="B429" s="444" t="s">
        <v>967</v>
      </c>
      <c r="C429" s="444" t="s">
        <v>1397</v>
      </c>
      <c r="D429" s="445">
        <v>5763016</v>
      </c>
      <c r="E429" s="445">
        <v>845200</v>
      </c>
      <c r="F429" s="444" t="s">
        <v>1688</v>
      </c>
      <c r="G429" s="444" t="s">
        <v>1689</v>
      </c>
      <c r="H429" s="1017">
        <v>0.6</v>
      </c>
      <c r="I429" s="1019">
        <v>101000</v>
      </c>
      <c r="J429" s="1017">
        <v>0.6</v>
      </c>
      <c r="K429" s="1019">
        <v>75000</v>
      </c>
    </row>
    <row r="430" spans="1:11" x14ac:dyDescent="0.2">
      <c r="A430" s="786"/>
      <c r="B430" s="548"/>
      <c r="C430" s="786"/>
      <c r="D430" s="786"/>
      <c r="E430" s="786"/>
      <c r="F430" s="786"/>
      <c r="G430" s="786"/>
      <c r="H430" s="548"/>
      <c r="I430" s="492">
        <f>SUM(I426:I429)</f>
        <v>407900</v>
      </c>
      <c r="J430" s="492">
        <f>SUM(J426:J429)</f>
        <v>2.8000000000000003</v>
      </c>
      <c r="K430" s="492">
        <f t="shared" ref="K430" si="39">SUM(K426:K429)</f>
        <v>360000</v>
      </c>
    </row>
    <row r="431" spans="1:11" ht="31.5" x14ac:dyDescent="0.2">
      <c r="A431" s="779" t="s">
        <v>50</v>
      </c>
      <c r="B431" s="780"/>
      <c r="C431" s="780"/>
      <c r="D431" s="780"/>
      <c r="E431" s="780"/>
      <c r="F431" s="780"/>
      <c r="G431" s="781"/>
      <c r="H431" s="728">
        <f>SUM(H393:H430)</f>
        <v>21.990000000000006</v>
      </c>
      <c r="I431" s="464">
        <f>I414+I419+I423+I425+I430</f>
        <v>2235994</v>
      </c>
      <c r="J431" s="937">
        <f>J414+J419+J423+J425+J430</f>
        <v>22.99</v>
      </c>
      <c r="K431" s="937">
        <f>K414+K419+K423+K425+K430</f>
        <v>2825818</v>
      </c>
    </row>
  </sheetData>
  <mergeCells count="3">
    <mergeCell ref="A155:C155"/>
    <mergeCell ref="A156:F156"/>
    <mergeCell ref="A168:C168"/>
  </mergeCells>
  <conditionalFormatting sqref="D21">
    <cfRule type="duplicateValues" dxfId="11" priority="12"/>
  </conditionalFormatting>
  <conditionalFormatting sqref="D48">
    <cfRule type="duplicateValues" dxfId="10" priority="11"/>
  </conditionalFormatting>
  <conditionalFormatting sqref="D44">
    <cfRule type="duplicateValues" dxfId="9" priority="10"/>
  </conditionalFormatting>
  <conditionalFormatting sqref="D173">
    <cfRule type="duplicateValues" dxfId="8" priority="9"/>
  </conditionalFormatting>
  <conditionalFormatting sqref="D200">
    <cfRule type="duplicateValues" dxfId="7" priority="8"/>
  </conditionalFormatting>
  <conditionalFormatting sqref="D290">
    <cfRule type="duplicateValues" dxfId="6" priority="7"/>
  </conditionalFormatting>
  <conditionalFormatting sqref="D212">
    <cfRule type="duplicateValues" dxfId="5" priority="6"/>
  </conditionalFormatting>
  <conditionalFormatting sqref="D218">
    <cfRule type="duplicateValues" dxfId="4" priority="5"/>
  </conditionalFormatting>
  <conditionalFormatting sqref="D308">
    <cfRule type="duplicateValues" dxfId="3" priority="4"/>
  </conditionalFormatting>
  <conditionalFormatting sqref="D325">
    <cfRule type="duplicateValues" dxfId="2" priority="3"/>
  </conditionalFormatting>
  <conditionalFormatting sqref="D396">
    <cfRule type="duplicateValues" dxfId="1" priority="2"/>
  </conditionalFormatting>
  <conditionalFormatting sqref="D406">
    <cfRule type="duplicateValues" dxfId="0" priority="1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0"/>
  <sheetViews>
    <sheetView rightToLeft="1" view="pageBreakPreview" zoomScale="60" zoomScaleNormal="100" workbookViewId="0">
      <selection activeCell="F243" sqref="A243:F670"/>
    </sheetView>
  </sheetViews>
  <sheetFormatPr defaultRowHeight="12.75" x14ac:dyDescent="0.2"/>
  <cols>
    <col min="1" max="1" width="12.42578125" bestFit="1" customWidth="1"/>
    <col min="2" max="2" width="34" bestFit="1" customWidth="1"/>
    <col min="3" max="3" width="12" bestFit="1" customWidth="1"/>
    <col min="4" max="4" width="13.7109375" bestFit="1" customWidth="1"/>
    <col min="5" max="5" width="11.28515625" bestFit="1" customWidth="1"/>
    <col min="6" max="6" width="15.5703125" bestFit="1" customWidth="1"/>
    <col min="7" max="7" width="15.28515625" bestFit="1" customWidth="1"/>
    <col min="8" max="8" width="13.42578125" bestFit="1" customWidth="1"/>
    <col min="9" max="9" width="12" bestFit="1" customWidth="1"/>
    <col min="10" max="10" width="13.7109375" bestFit="1" customWidth="1"/>
  </cols>
  <sheetData>
    <row r="1" spans="1:21" x14ac:dyDescent="0.2">
      <c r="A1" t="s">
        <v>1854</v>
      </c>
      <c r="B1" t="s">
        <v>1855</v>
      </c>
      <c r="C1" t="s">
        <v>1857</v>
      </c>
      <c r="D1" t="s">
        <v>2787</v>
      </c>
      <c r="E1" t="s">
        <v>2788</v>
      </c>
      <c r="F1" t="s">
        <v>2789</v>
      </c>
    </row>
    <row r="2" spans="1:21" x14ac:dyDescent="0.2">
      <c r="A2">
        <v>1111100100</v>
      </c>
      <c r="B2" t="s">
        <v>1150</v>
      </c>
      <c r="C2" s="929">
        <v>-10016550</v>
      </c>
      <c r="D2" s="930">
        <v>-8083184</v>
      </c>
      <c r="E2">
        <v>0</v>
      </c>
      <c r="F2" s="930">
        <v>-8083184</v>
      </c>
      <c r="G2" s="930"/>
      <c r="I2" s="929"/>
      <c r="J2" s="930"/>
      <c r="L2" s="930"/>
      <c r="M2" s="930"/>
      <c r="S2" s="930"/>
      <c r="U2" s="930"/>
    </row>
    <row r="3" spans="1:21" x14ac:dyDescent="0.2">
      <c r="A3">
        <v>1111200100</v>
      </c>
      <c r="B3" t="s">
        <v>1151</v>
      </c>
      <c r="C3" s="929">
        <v>-2249100</v>
      </c>
      <c r="D3" s="930">
        <v>-1825621</v>
      </c>
      <c r="E3">
        <v>0</v>
      </c>
      <c r="F3" s="930">
        <v>-1825621</v>
      </c>
      <c r="G3" s="930"/>
      <c r="I3" s="929"/>
      <c r="J3" s="930"/>
      <c r="L3" s="930"/>
      <c r="M3" s="930"/>
      <c r="S3" s="930"/>
      <c r="U3" s="930"/>
    </row>
    <row r="4" spans="1:21" x14ac:dyDescent="0.2">
      <c r="A4">
        <v>1111310100</v>
      </c>
      <c r="B4" t="s">
        <v>1861</v>
      </c>
      <c r="C4">
        <v>0</v>
      </c>
      <c r="D4">
        <v>0</v>
      </c>
      <c r="E4">
        <v>0</v>
      </c>
      <c r="F4">
        <v>0</v>
      </c>
    </row>
    <row r="5" spans="1:21" x14ac:dyDescent="0.2">
      <c r="A5">
        <v>1115000100</v>
      </c>
      <c r="B5" t="s">
        <v>1153</v>
      </c>
      <c r="C5" s="929">
        <v>-3426129</v>
      </c>
      <c r="D5" s="930">
        <v>-3912445.35</v>
      </c>
      <c r="E5">
        <v>0</v>
      </c>
      <c r="F5" s="930">
        <v>-3912445.35</v>
      </c>
      <c r="G5" s="930"/>
      <c r="I5" s="929"/>
      <c r="J5" s="930"/>
      <c r="L5" s="930"/>
      <c r="M5" s="930"/>
      <c r="S5" s="930"/>
      <c r="U5" s="930"/>
    </row>
    <row r="6" spans="1:21" x14ac:dyDescent="0.2">
      <c r="A6">
        <v>1121000290</v>
      </c>
      <c r="B6" t="s">
        <v>1156</v>
      </c>
      <c r="C6" s="929">
        <v>-5247</v>
      </c>
      <c r="D6" s="930">
        <v>-8264</v>
      </c>
      <c r="E6">
        <v>0</v>
      </c>
      <c r="F6" s="930">
        <v>-8264</v>
      </c>
      <c r="G6" s="930"/>
      <c r="I6" s="929"/>
      <c r="J6" s="930"/>
      <c r="L6" s="930"/>
      <c r="M6" s="930"/>
      <c r="S6" s="930"/>
      <c r="U6" s="930"/>
    </row>
    <row r="7" spans="1:21" x14ac:dyDescent="0.2">
      <c r="A7">
        <v>1191000910</v>
      </c>
      <c r="B7" t="s">
        <v>2012</v>
      </c>
      <c r="C7" s="929">
        <v>-6874596</v>
      </c>
      <c r="D7" s="930">
        <v>-7831186.71</v>
      </c>
      <c r="E7">
        <v>0</v>
      </c>
      <c r="F7" s="930">
        <v>-7831186.71</v>
      </c>
      <c r="G7" s="930"/>
      <c r="I7" s="929"/>
      <c r="J7" s="930"/>
      <c r="L7" s="930"/>
      <c r="M7" s="930"/>
      <c r="S7" s="930"/>
      <c r="U7" s="930"/>
    </row>
    <row r="8" spans="1:21" x14ac:dyDescent="0.2">
      <c r="A8">
        <v>1191000920</v>
      </c>
      <c r="B8" t="s">
        <v>1159</v>
      </c>
      <c r="C8" s="929">
        <v>-1213164</v>
      </c>
      <c r="D8" s="930">
        <v>-564817</v>
      </c>
      <c r="E8">
        <v>0</v>
      </c>
      <c r="F8" s="930">
        <v>-564817</v>
      </c>
      <c r="G8" s="930"/>
      <c r="I8" s="929"/>
      <c r="J8" s="930"/>
      <c r="L8" s="930"/>
      <c r="M8" s="930"/>
      <c r="S8" s="930"/>
      <c r="U8" s="930"/>
    </row>
    <row r="9" spans="1:21" x14ac:dyDescent="0.2">
      <c r="A9">
        <v>1191100910</v>
      </c>
      <c r="B9" t="s">
        <v>2015</v>
      </c>
      <c r="C9" s="929">
        <v>-777438</v>
      </c>
      <c r="D9" s="930">
        <v>-1005805</v>
      </c>
      <c r="E9">
        <v>0</v>
      </c>
      <c r="F9" s="930">
        <v>-1005805</v>
      </c>
      <c r="G9" s="930"/>
      <c r="I9" s="929"/>
      <c r="J9" s="930"/>
      <c r="L9" s="930"/>
      <c r="M9" s="930"/>
      <c r="S9" s="930"/>
      <c r="U9" s="930"/>
    </row>
    <row r="10" spans="1:21" x14ac:dyDescent="0.2">
      <c r="A10">
        <v>1211000210</v>
      </c>
      <c r="B10" t="s">
        <v>989</v>
      </c>
      <c r="C10" s="929">
        <v>-7497</v>
      </c>
      <c r="D10" s="930">
        <v>-2792</v>
      </c>
      <c r="E10">
        <v>0</v>
      </c>
      <c r="F10" s="930">
        <v>-2792</v>
      </c>
      <c r="G10" s="930"/>
      <c r="I10" s="929"/>
      <c r="J10" s="930"/>
      <c r="L10" s="930"/>
      <c r="M10" s="930"/>
      <c r="S10" s="930"/>
      <c r="U10" s="930"/>
    </row>
    <row r="11" spans="1:21" x14ac:dyDescent="0.2">
      <c r="A11">
        <v>1212300290</v>
      </c>
      <c r="B11" t="s">
        <v>1164</v>
      </c>
      <c r="C11" s="929">
        <v>-7497</v>
      </c>
      <c r="D11" s="930">
        <v>-14950</v>
      </c>
      <c r="E11">
        <v>0</v>
      </c>
      <c r="F11" s="930">
        <v>-14950</v>
      </c>
      <c r="G11" s="930"/>
      <c r="I11" s="929"/>
      <c r="J11" s="930"/>
      <c r="L11" s="930"/>
      <c r="M11" s="930"/>
      <c r="S11" s="930"/>
      <c r="U11" s="930"/>
    </row>
    <row r="12" spans="1:21" x14ac:dyDescent="0.2">
      <c r="A12">
        <v>1212300690</v>
      </c>
      <c r="B12" t="s">
        <v>1875</v>
      </c>
      <c r="C12">
        <v>0</v>
      </c>
      <c r="D12">
        <v>0</v>
      </c>
      <c r="E12">
        <v>0</v>
      </c>
      <c r="F12">
        <v>0</v>
      </c>
    </row>
    <row r="13" spans="1:21" x14ac:dyDescent="0.2">
      <c r="A13">
        <v>1213300290</v>
      </c>
      <c r="B13" t="s">
        <v>1165</v>
      </c>
      <c r="C13" s="929">
        <v>-74970</v>
      </c>
      <c r="D13" s="930">
        <v>-25237.45</v>
      </c>
      <c r="E13">
        <v>0</v>
      </c>
      <c r="F13" s="930">
        <v>-25237.45</v>
      </c>
      <c r="G13" s="930"/>
      <c r="I13" s="929"/>
      <c r="J13" s="930"/>
      <c r="L13" s="930"/>
      <c r="M13" s="930"/>
      <c r="S13" s="930"/>
      <c r="U13" s="930"/>
    </row>
    <row r="14" spans="1:21" x14ac:dyDescent="0.2">
      <c r="A14">
        <v>1214200210</v>
      </c>
      <c r="B14" t="s">
        <v>1876</v>
      </c>
      <c r="C14">
        <v>0</v>
      </c>
      <c r="D14">
        <v>0</v>
      </c>
      <c r="E14">
        <v>0</v>
      </c>
      <c r="F14">
        <v>0</v>
      </c>
    </row>
    <row r="15" spans="1:21" x14ac:dyDescent="0.2">
      <c r="A15">
        <v>1214300220</v>
      </c>
      <c r="B15" t="s">
        <v>1877</v>
      </c>
      <c r="C15" s="929">
        <v>-10359</v>
      </c>
      <c r="D15" s="930">
        <v>-12845</v>
      </c>
      <c r="E15">
        <v>0</v>
      </c>
      <c r="F15" s="930">
        <v>-12845</v>
      </c>
      <c r="G15" s="930"/>
      <c r="I15" s="929"/>
      <c r="J15" s="930"/>
      <c r="L15" s="930"/>
      <c r="S15" s="930"/>
      <c r="U15" s="930"/>
    </row>
    <row r="16" spans="1:21" x14ac:dyDescent="0.2">
      <c r="A16">
        <v>1233100710</v>
      </c>
      <c r="B16" t="s">
        <v>1169</v>
      </c>
      <c r="C16" s="929">
        <v>-164934</v>
      </c>
      <c r="D16" s="930">
        <v>-167165.42000000001</v>
      </c>
      <c r="E16">
        <v>0</v>
      </c>
      <c r="F16" s="930">
        <v>-167165.42000000001</v>
      </c>
      <c r="G16" s="930"/>
      <c r="I16" s="929"/>
      <c r="J16" s="930"/>
      <c r="L16" s="930"/>
      <c r="M16" s="930"/>
      <c r="S16" s="930"/>
      <c r="U16" s="930"/>
    </row>
    <row r="17" spans="1:21" x14ac:dyDescent="0.2">
      <c r="A17">
        <v>1233100720</v>
      </c>
      <c r="B17" t="s">
        <v>1170</v>
      </c>
      <c r="C17" s="929">
        <v>-14994</v>
      </c>
      <c r="D17">
        <v>0</v>
      </c>
      <c r="E17">
        <v>0</v>
      </c>
      <c r="F17">
        <v>0</v>
      </c>
      <c r="G17" s="930"/>
      <c r="I17" s="929"/>
      <c r="M17" s="930"/>
    </row>
    <row r="18" spans="1:21" x14ac:dyDescent="0.2">
      <c r="A18">
        <v>1233100990</v>
      </c>
      <c r="B18" t="s">
        <v>1999</v>
      </c>
      <c r="C18">
        <v>0</v>
      </c>
      <c r="D18">
        <v>0</v>
      </c>
      <c r="E18">
        <v>0</v>
      </c>
      <c r="F18">
        <v>0</v>
      </c>
    </row>
    <row r="19" spans="1:21" x14ac:dyDescent="0.2">
      <c r="A19">
        <v>1233400710</v>
      </c>
      <c r="B19" t="s">
        <v>1878</v>
      </c>
      <c r="C19" s="929">
        <v>-832914</v>
      </c>
      <c r="D19" s="930">
        <v>-172000</v>
      </c>
      <c r="E19">
        <v>0</v>
      </c>
      <c r="F19" s="930">
        <v>-172000</v>
      </c>
      <c r="G19" s="930"/>
      <c r="I19" s="929"/>
      <c r="J19" s="930"/>
      <c r="L19" s="930"/>
      <c r="M19" s="930"/>
      <c r="S19" s="930"/>
      <c r="U19" s="930"/>
    </row>
    <row r="20" spans="1:21" x14ac:dyDescent="0.2">
      <c r="A20">
        <v>1233400711</v>
      </c>
      <c r="B20" t="s">
        <v>2790</v>
      </c>
      <c r="C20" s="929">
        <v>-649242</v>
      </c>
      <c r="D20">
        <v>0</v>
      </c>
      <c r="E20">
        <v>0</v>
      </c>
      <c r="F20">
        <v>0</v>
      </c>
      <c r="G20" s="930"/>
      <c r="I20" s="929"/>
      <c r="M20" s="930"/>
    </row>
    <row r="21" spans="1:21" x14ac:dyDescent="0.2">
      <c r="A21">
        <v>1243000640</v>
      </c>
      <c r="B21" t="s">
        <v>1879</v>
      </c>
      <c r="C21" s="929">
        <v>-13347</v>
      </c>
      <c r="D21" s="930">
        <v>-13387.11</v>
      </c>
      <c r="E21">
        <v>0</v>
      </c>
      <c r="F21" s="930">
        <v>-13387.11</v>
      </c>
      <c r="I21" s="929"/>
      <c r="J21" s="930"/>
      <c r="L21" s="930"/>
      <c r="S21" s="930"/>
      <c r="U21" s="930"/>
    </row>
    <row r="22" spans="1:21" x14ac:dyDescent="0.2">
      <c r="A22">
        <v>1244000990</v>
      </c>
      <c r="B22" t="s">
        <v>1177</v>
      </c>
      <c r="C22" s="929">
        <v>-48357</v>
      </c>
      <c r="D22" s="930">
        <v>-17000</v>
      </c>
      <c r="E22">
        <v>0</v>
      </c>
      <c r="F22" s="930">
        <v>-17000</v>
      </c>
      <c r="G22" s="930"/>
      <c r="I22" s="929"/>
      <c r="J22" s="930"/>
      <c r="L22" s="930"/>
      <c r="M22" s="930"/>
      <c r="S22" s="930"/>
      <c r="U22" s="930"/>
    </row>
    <row r="23" spans="1:21" x14ac:dyDescent="0.2">
      <c r="A23">
        <v>1266000690</v>
      </c>
      <c r="B23" t="s">
        <v>1880</v>
      </c>
      <c r="C23">
        <v>0</v>
      </c>
      <c r="D23">
        <v>0</v>
      </c>
      <c r="E23">
        <v>0</v>
      </c>
      <c r="F23">
        <v>0</v>
      </c>
    </row>
    <row r="24" spans="1:21" x14ac:dyDescent="0.2">
      <c r="A24">
        <v>1269000690</v>
      </c>
      <c r="B24" t="s">
        <v>1881</v>
      </c>
      <c r="C24" s="929">
        <v>-14994</v>
      </c>
      <c r="D24" s="930">
        <v>-25200</v>
      </c>
      <c r="E24">
        <v>0</v>
      </c>
      <c r="F24" s="930">
        <v>-25200</v>
      </c>
      <c r="G24" s="930"/>
      <c r="I24" s="929"/>
      <c r="J24" s="930"/>
      <c r="L24" s="930"/>
      <c r="M24" s="930"/>
      <c r="S24" s="930"/>
      <c r="U24" s="930"/>
    </row>
    <row r="25" spans="1:21" x14ac:dyDescent="0.2">
      <c r="A25">
        <v>1269000790</v>
      </c>
      <c r="B25" t="s">
        <v>1882</v>
      </c>
      <c r="C25" s="929">
        <v>-44982</v>
      </c>
      <c r="D25" s="930">
        <v>-55900</v>
      </c>
      <c r="E25">
        <v>0</v>
      </c>
      <c r="F25" s="930">
        <v>-55900</v>
      </c>
      <c r="G25" s="930"/>
      <c r="I25" s="929"/>
      <c r="J25" s="930"/>
      <c r="L25" s="930"/>
      <c r="M25" s="930"/>
      <c r="S25" s="930"/>
      <c r="U25" s="930"/>
    </row>
    <row r="26" spans="1:21" x14ac:dyDescent="0.2">
      <c r="A26">
        <v>1269100690</v>
      </c>
      <c r="B26" t="s">
        <v>1181</v>
      </c>
      <c r="C26" s="929">
        <v>-74970</v>
      </c>
      <c r="D26" s="930">
        <v>-261374.1</v>
      </c>
      <c r="E26">
        <v>0</v>
      </c>
      <c r="F26" s="930">
        <v>-261374.1</v>
      </c>
      <c r="G26" s="930"/>
      <c r="I26" s="929"/>
      <c r="J26" s="930"/>
      <c r="L26" s="930"/>
      <c r="M26" s="930"/>
      <c r="S26" s="930"/>
      <c r="U26" s="930"/>
    </row>
    <row r="27" spans="1:21" x14ac:dyDescent="0.2">
      <c r="A27">
        <v>1269110690</v>
      </c>
      <c r="B27" t="s">
        <v>1182</v>
      </c>
      <c r="C27" s="929">
        <v>-10872</v>
      </c>
      <c r="D27" s="930">
        <v>-10148</v>
      </c>
      <c r="E27">
        <v>0</v>
      </c>
      <c r="F27" s="930">
        <v>-10148</v>
      </c>
      <c r="I27" s="929"/>
      <c r="J27" s="930"/>
      <c r="L27" s="930"/>
      <c r="M27" s="930"/>
      <c r="S27" s="930"/>
      <c r="U27" s="930"/>
    </row>
    <row r="28" spans="1:21" x14ac:dyDescent="0.2">
      <c r="A28">
        <v>1269120690</v>
      </c>
      <c r="B28" t="s">
        <v>2791</v>
      </c>
      <c r="C28" s="929">
        <v>-19269</v>
      </c>
      <c r="D28" s="930">
        <v>-18703.25</v>
      </c>
      <c r="E28">
        <v>0</v>
      </c>
      <c r="F28" s="930">
        <v>-18703.25</v>
      </c>
      <c r="I28" s="929"/>
      <c r="J28" s="930"/>
      <c r="L28" s="930"/>
      <c r="M28" s="930"/>
      <c r="S28" s="930"/>
      <c r="U28" s="930"/>
    </row>
    <row r="29" spans="1:21" x14ac:dyDescent="0.2">
      <c r="A29">
        <v>1311000920</v>
      </c>
      <c r="B29" t="s">
        <v>1896</v>
      </c>
      <c r="C29" s="929">
        <v>-226143</v>
      </c>
      <c r="D29" s="930">
        <v>-286647.74</v>
      </c>
      <c r="E29">
        <v>0</v>
      </c>
      <c r="F29" s="930">
        <v>-286647.74</v>
      </c>
      <c r="G29" s="930"/>
      <c r="I29" s="929"/>
      <c r="J29" s="930"/>
      <c r="L29" s="930"/>
      <c r="M29" s="930"/>
      <c r="S29" s="930"/>
      <c r="U29" s="930"/>
    </row>
    <row r="30" spans="1:21" x14ac:dyDescent="0.2">
      <c r="A30">
        <v>1311100920</v>
      </c>
      <c r="B30" t="s">
        <v>661</v>
      </c>
      <c r="C30" s="929">
        <v>-130959</v>
      </c>
      <c r="D30" s="930">
        <v>-72000</v>
      </c>
      <c r="E30">
        <v>0</v>
      </c>
      <c r="F30" s="930">
        <v>-72000</v>
      </c>
      <c r="G30" s="930"/>
      <c r="I30" s="929"/>
      <c r="J30" s="930"/>
      <c r="L30" s="930"/>
      <c r="M30" s="930"/>
      <c r="S30" s="930"/>
      <c r="U30" s="930"/>
    </row>
    <row r="31" spans="1:21" x14ac:dyDescent="0.2">
      <c r="A31">
        <v>1311110920</v>
      </c>
      <c r="B31" t="s">
        <v>2049</v>
      </c>
      <c r="C31" s="929">
        <v>-123045</v>
      </c>
      <c r="D31">
        <v>0</v>
      </c>
      <c r="E31">
        <v>0</v>
      </c>
      <c r="F31">
        <v>0</v>
      </c>
      <c r="G31" s="930"/>
      <c r="I31" s="929"/>
      <c r="M31" s="930"/>
    </row>
    <row r="32" spans="1:21" x14ac:dyDescent="0.2">
      <c r="A32">
        <v>1311131920</v>
      </c>
      <c r="B32" t="s">
        <v>1897</v>
      </c>
      <c r="C32">
        <v>0</v>
      </c>
      <c r="D32">
        <v>0</v>
      </c>
      <c r="E32">
        <v>0</v>
      </c>
      <c r="F32">
        <v>0</v>
      </c>
    </row>
    <row r="33" spans="1:21" x14ac:dyDescent="0.2">
      <c r="A33">
        <v>1311200920</v>
      </c>
      <c r="B33" t="s">
        <v>1898</v>
      </c>
      <c r="C33" s="929">
        <v>-53982</v>
      </c>
      <c r="D33" s="930">
        <v>-72014.47</v>
      </c>
      <c r="E33">
        <v>0</v>
      </c>
      <c r="F33" s="930">
        <v>-72014.47</v>
      </c>
      <c r="G33" s="930"/>
      <c r="I33" s="929"/>
      <c r="J33" s="930"/>
      <c r="L33" s="930"/>
      <c r="S33" s="930"/>
      <c r="U33" s="930"/>
    </row>
    <row r="34" spans="1:21" x14ac:dyDescent="0.2">
      <c r="A34">
        <v>1311300920</v>
      </c>
      <c r="B34" t="s">
        <v>1189</v>
      </c>
      <c r="C34" s="929">
        <v>-149940</v>
      </c>
      <c r="D34">
        <v>0</v>
      </c>
      <c r="E34">
        <v>0</v>
      </c>
      <c r="F34">
        <v>0</v>
      </c>
      <c r="G34" s="930"/>
      <c r="I34" s="929"/>
      <c r="M34" s="930"/>
    </row>
    <row r="35" spans="1:21" x14ac:dyDescent="0.2">
      <c r="A35">
        <v>1312100420</v>
      </c>
      <c r="B35" t="s">
        <v>1867</v>
      </c>
      <c r="C35" s="929">
        <v>-26244</v>
      </c>
      <c r="D35" s="930">
        <v>-24061</v>
      </c>
      <c r="E35">
        <v>0</v>
      </c>
      <c r="F35" s="930">
        <v>-24061</v>
      </c>
      <c r="G35" s="930"/>
      <c r="I35" s="929"/>
      <c r="J35" s="930"/>
      <c r="L35" s="930"/>
      <c r="M35" s="930"/>
      <c r="S35" s="930"/>
      <c r="U35" s="930"/>
    </row>
    <row r="36" spans="1:21" x14ac:dyDescent="0.2">
      <c r="A36">
        <v>1312100920</v>
      </c>
      <c r="B36" t="s">
        <v>1899</v>
      </c>
      <c r="C36" s="929">
        <v>-7497</v>
      </c>
      <c r="D36">
        <v>0</v>
      </c>
      <c r="E36">
        <v>0</v>
      </c>
      <c r="F36">
        <v>0</v>
      </c>
      <c r="G36" s="930"/>
      <c r="I36" s="929"/>
      <c r="M36" s="930"/>
    </row>
    <row r="37" spans="1:21" x14ac:dyDescent="0.2">
      <c r="A37">
        <v>1312110920</v>
      </c>
      <c r="B37" t="s">
        <v>1900</v>
      </c>
      <c r="C37" s="929">
        <v>-5292</v>
      </c>
      <c r="D37" s="930">
        <v>-4704</v>
      </c>
      <c r="E37">
        <v>0</v>
      </c>
      <c r="F37" s="930">
        <v>-4704</v>
      </c>
      <c r="I37" s="929"/>
      <c r="J37" s="930"/>
      <c r="L37" s="930"/>
      <c r="M37" s="930"/>
      <c r="S37" s="930"/>
      <c r="U37" s="930"/>
    </row>
    <row r="38" spans="1:21" x14ac:dyDescent="0.2">
      <c r="A38">
        <v>1312200410</v>
      </c>
      <c r="B38" t="s">
        <v>1868</v>
      </c>
      <c r="C38">
        <v>0</v>
      </c>
      <c r="D38">
        <v>0</v>
      </c>
      <c r="E38">
        <v>0</v>
      </c>
      <c r="F38">
        <v>0</v>
      </c>
    </row>
    <row r="39" spans="1:21" x14ac:dyDescent="0.2">
      <c r="A39">
        <v>1312200920</v>
      </c>
      <c r="B39" t="s">
        <v>1901</v>
      </c>
      <c r="C39" s="929">
        <v>-787185</v>
      </c>
      <c r="D39" s="930">
        <v>-816697.71</v>
      </c>
      <c r="E39">
        <v>0</v>
      </c>
      <c r="F39" s="930">
        <v>-816697.71</v>
      </c>
      <c r="G39" s="930"/>
      <c r="I39" s="929"/>
      <c r="J39" s="930"/>
      <c r="L39" s="930"/>
      <c r="M39" s="930"/>
      <c r="S39" s="930"/>
      <c r="U39" s="930"/>
    </row>
    <row r="40" spans="1:21" x14ac:dyDescent="0.2">
      <c r="A40">
        <v>1312201920</v>
      </c>
      <c r="B40" t="s">
        <v>1902</v>
      </c>
      <c r="C40" s="929">
        <v>86220</v>
      </c>
      <c r="D40" s="930">
        <v>75089.399999999994</v>
      </c>
      <c r="E40">
        <v>0</v>
      </c>
      <c r="F40" s="930">
        <v>75089.399999999994</v>
      </c>
      <c r="G40" s="930"/>
      <c r="I40" s="929"/>
      <c r="J40" s="930"/>
      <c r="L40" s="930"/>
      <c r="M40" s="930"/>
      <c r="S40" s="930"/>
      <c r="U40" s="930"/>
    </row>
    <row r="41" spans="1:21" x14ac:dyDescent="0.2">
      <c r="A41">
        <v>1312210920</v>
      </c>
      <c r="B41" t="s">
        <v>1193</v>
      </c>
      <c r="C41" s="929">
        <v>-1503</v>
      </c>
      <c r="D41" s="930">
        <v>-19203.48</v>
      </c>
      <c r="E41">
        <v>0</v>
      </c>
      <c r="F41" s="930">
        <v>-19203.48</v>
      </c>
      <c r="G41" s="930"/>
      <c r="I41" s="929"/>
      <c r="J41" s="930"/>
      <c r="L41" s="930"/>
      <c r="M41" s="930"/>
      <c r="S41" s="930"/>
      <c r="U41" s="930"/>
    </row>
    <row r="42" spans="1:21" x14ac:dyDescent="0.2">
      <c r="A42">
        <v>1312300490</v>
      </c>
      <c r="B42" t="s">
        <v>1869</v>
      </c>
      <c r="C42" s="929">
        <v>-142443</v>
      </c>
      <c r="D42" s="930">
        <v>-197845</v>
      </c>
      <c r="E42">
        <v>0</v>
      </c>
      <c r="F42" s="930">
        <v>-197845</v>
      </c>
      <c r="G42" s="930"/>
      <c r="I42" s="929"/>
      <c r="J42" s="930"/>
      <c r="L42" s="930"/>
      <c r="M42" s="930"/>
      <c r="S42" s="930"/>
      <c r="U42" s="930"/>
    </row>
    <row r="43" spans="1:21" x14ac:dyDescent="0.2">
      <c r="A43">
        <v>1312300920</v>
      </c>
      <c r="B43" t="s">
        <v>1903</v>
      </c>
      <c r="C43" s="929">
        <v>-2165679</v>
      </c>
      <c r="D43" s="930">
        <v>-2460062.39</v>
      </c>
      <c r="E43">
        <v>0</v>
      </c>
      <c r="F43" s="930">
        <v>-2460062.39</v>
      </c>
      <c r="G43" s="930"/>
      <c r="I43" s="929"/>
      <c r="J43" s="930"/>
      <c r="L43" s="930"/>
      <c r="M43" s="930"/>
      <c r="S43" s="930"/>
      <c r="U43" s="930"/>
    </row>
    <row r="44" spans="1:21" x14ac:dyDescent="0.2">
      <c r="A44">
        <v>1312310920</v>
      </c>
      <c r="B44" t="s">
        <v>1904</v>
      </c>
      <c r="C44" s="929">
        <v>-1027089</v>
      </c>
      <c r="D44" s="930">
        <v>-1198509.8999999999</v>
      </c>
      <c r="E44">
        <v>0</v>
      </c>
      <c r="F44" s="930">
        <v>-1198509.8999999999</v>
      </c>
      <c r="G44" s="930"/>
      <c r="I44" s="929"/>
      <c r="J44" s="930"/>
      <c r="L44" s="930"/>
      <c r="M44" s="930"/>
      <c r="S44" s="930"/>
      <c r="U44" s="930"/>
    </row>
    <row r="45" spans="1:21" x14ac:dyDescent="0.2">
      <c r="A45">
        <v>1312345920</v>
      </c>
      <c r="B45" t="s">
        <v>1197</v>
      </c>
      <c r="C45" s="929">
        <v>-250398</v>
      </c>
      <c r="D45" s="930">
        <v>-353464.96</v>
      </c>
      <c r="E45">
        <v>0</v>
      </c>
      <c r="F45" s="930">
        <v>-353464.96</v>
      </c>
      <c r="G45" s="930"/>
      <c r="I45" s="929"/>
      <c r="J45" s="930"/>
      <c r="L45" s="930"/>
      <c r="M45" s="930"/>
      <c r="S45" s="930"/>
      <c r="U45" s="930"/>
    </row>
    <row r="46" spans="1:21" x14ac:dyDescent="0.2">
      <c r="A46">
        <v>1312346920</v>
      </c>
      <c r="B46" t="s">
        <v>1905</v>
      </c>
      <c r="C46" s="929">
        <v>-584766</v>
      </c>
      <c r="D46" s="930">
        <v>-447600.35</v>
      </c>
      <c r="E46">
        <v>0</v>
      </c>
      <c r="F46" s="930">
        <v>-447600.35</v>
      </c>
      <c r="G46" s="930"/>
      <c r="I46" s="929"/>
      <c r="J46" s="930"/>
      <c r="L46" s="930"/>
      <c r="M46" s="930"/>
      <c r="S46" s="930"/>
      <c r="U46" s="930"/>
    </row>
    <row r="47" spans="1:21" x14ac:dyDescent="0.2">
      <c r="A47">
        <v>1312509920</v>
      </c>
      <c r="B47" t="s">
        <v>1906</v>
      </c>
      <c r="C47" s="929">
        <v>-124524</v>
      </c>
      <c r="D47" s="930">
        <v>-50156</v>
      </c>
      <c r="E47">
        <v>0</v>
      </c>
      <c r="F47" s="930">
        <v>-50156</v>
      </c>
      <c r="G47" s="930"/>
      <c r="I47" s="929"/>
      <c r="J47" s="930"/>
      <c r="L47" s="930"/>
      <c r="M47" s="930"/>
      <c r="S47" s="930"/>
      <c r="U47" s="930"/>
    </row>
    <row r="48" spans="1:21" x14ac:dyDescent="0.2">
      <c r="A48">
        <v>1312510920</v>
      </c>
      <c r="B48" t="s">
        <v>1907</v>
      </c>
      <c r="C48" s="929">
        <v>-156555</v>
      </c>
      <c r="D48" s="930">
        <v>-44801</v>
      </c>
      <c r="E48">
        <v>0</v>
      </c>
      <c r="F48" s="930">
        <v>-44801</v>
      </c>
      <c r="G48" s="930"/>
      <c r="I48" s="929"/>
      <c r="J48" s="930"/>
      <c r="L48" s="930"/>
      <c r="M48" s="930"/>
      <c r="S48" s="930"/>
      <c r="U48" s="930"/>
    </row>
    <row r="49" spans="1:21" x14ac:dyDescent="0.2">
      <c r="A49">
        <v>1312512920</v>
      </c>
      <c r="B49" t="s">
        <v>1200</v>
      </c>
      <c r="C49" s="929">
        <v>-73557</v>
      </c>
      <c r="D49" s="930">
        <v>-10390</v>
      </c>
      <c r="E49">
        <v>0</v>
      </c>
      <c r="F49" s="930">
        <v>-10390</v>
      </c>
      <c r="G49" s="930"/>
      <c r="I49" s="929"/>
      <c r="J49" s="930"/>
      <c r="L49" s="930"/>
      <c r="M49" s="930"/>
      <c r="S49" s="930"/>
      <c r="U49" s="930"/>
    </row>
    <row r="50" spans="1:21" x14ac:dyDescent="0.2">
      <c r="A50">
        <v>1312513920</v>
      </c>
      <c r="B50" t="s">
        <v>1908</v>
      </c>
      <c r="C50" s="929">
        <v>-470808</v>
      </c>
      <c r="D50">
        <v>0</v>
      </c>
      <c r="E50">
        <v>0</v>
      </c>
      <c r="F50">
        <v>0</v>
      </c>
      <c r="G50" s="930"/>
      <c r="I50" s="929"/>
      <c r="M50" s="930"/>
    </row>
    <row r="51" spans="1:21" x14ac:dyDescent="0.2">
      <c r="A51">
        <v>1312514920</v>
      </c>
      <c r="B51" t="s">
        <v>1202</v>
      </c>
      <c r="C51">
        <v>-378</v>
      </c>
      <c r="D51">
        <v>0</v>
      </c>
      <c r="E51">
        <v>0</v>
      </c>
      <c r="F51">
        <v>0</v>
      </c>
    </row>
    <row r="52" spans="1:21" x14ac:dyDescent="0.2">
      <c r="A52">
        <v>1312515920</v>
      </c>
      <c r="B52" t="s">
        <v>1909</v>
      </c>
      <c r="C52" s="929">
        <v>-37935</v>
      </c>
      <c r="D52">
        <v>0</v>
      </c>
      <c r="E52">
        <v>0</v>
      </c>
      <c r="F52">
        <v>0</v>
      </c>
      <c r="G52" s="930"/>
      <c r="I52" s="929"/>
      <c r="M52" s="930"/>
    </row>
    <row r="53" spans="1:21" x14ac:dyDescent="0.2">
      <c r="A53">
        <v>1312517920</v>
      </c>
      <c r="B53" t="s">
        <v>1910</v>
      </c>
      <c r="C53">
        <v>0</v>
      </c>
      <c r="D53">
        <v>0</v>
      </c>
      <c r="E53">
        <v>0</v>
      </c>
      <c r="F53">
        <v>0</v>
      </c>
    </row>
    <row r="54" spans="1:21" x14ac:dyDescent="0.2">
      <c r="A54">
        <v>1312610920</v>
      </c>
      <c r="B54" t="s">
        <v>1911</v>
      </c>
      <c r="C54" s="929">
        <v>-4500</v>
      </c>
      <c r="D54" s="930">
        <v>-5790.45</v>
      </c>
      <c r="E54">
        <v>0</v>
      </c>
      <c r="F54" s="930">
        <v>-5790.45</v>
      </c>
      <c r="G54" s="930"/>
      <c r="I54" s="929"/>
      <c r="J54" s="930"/>
      <c r="L54" s="930"/>
      <c r="S54" s="930"/>
      <c r="U54" s="930"/>
    </row>
    <row r="55" spans="1:21" x14ac:dyDescent="0.2">
      <c r="A55">
        <v>1312751920</v>
      </c>
      <c r="B55" t="s">
        <v>1912</v>
      </c>
      <c r="C55" s="929">
        <v>267057</v>
      </c>
      <c r="D55" s="930">
        <v>177366.25</v>
      </c>
      <c r="E55">
        <v>0</v>
      </c>
      <c r="F55" s="930">
        <v>177366.25</v>
      </c>
      <c r="G55" s="930"/>
      <c r="I55" s="929"/>
      <c r="J55" s="930"/>
      <c r="L55" s="930"/>
      <c r="M55" s="930"/>
      <c r="S55" s="930"/>
      <c r="U55" s="930"/>
    </row>
    <row r="56" spans="1:21" x14ac:dyDescent="0.2">
      <c r="A56">
        <v>1313100920</v>
      </c>
      <c r="B56" t="s">
        <v>1913</v>
      </c>
      <c r="C56" s="929">
        <v>-794547</v>
      </c>
      <c r="D56" s="930">
        <v>-832053.99</v>
      </c>
      <c r="E56">
        <v>0</v>
      </c>
      <c r="F56" s="930">
        <v>-832053.99</v>
      </c>
      <c r="G56" s="930"/>
      <c r="I56" s="929"/>
      <c r="J56" s="930"/>
      <c r="L56" s="930"/>
      <c r="M56" s="930"/>
      <c r="S56" s="930"/>
      <c r="U56" s="930"/>
    </row>
    <row r="57" spans="1:21" x14ac:dyDescent="0.2">
      <c r="A57">
        <v>1313110920</v>
      </c>
      <c r="B57" t="s">
        <v>1914</v>
      </c>
      <c r="C57">
        <v>0</v>
      </c>
      <c r="D57">
        <v>0</v>
      </c>
      <c r="E57">
        <v>0</v>
      </c>
      <c r="F57">
        <v>0</v>
      </c>
    </row>
    <row r="58" spans="1:21" x14ac:dyDescent="0.2">
      <c r="A58">
        <v>1313120920</v>
      </c>
      <c r="B58" t="s">
        <v>1915</v>
      </c>
      <c r="C58" s="929">
        <v>-143154</v>
      </c>
      <c r="D58" s="930">
        <v>-152730.74</v>
      </c>
      <c r="E58">
        <v>0</v>
      </c>
      <c r="F58" s="930">
        <v>-152730.74</v>
      </c>
      <c r="G58" s="930"/>
      <c r="I58" s="929"/>
      <c r="J58" s="930"/>
      <c r="L58" s="930"/>
      <c r="M58" s="930"/>
      <c r="S58" s="930"/>
      <c r="U58" s="930"/>
    </row>
    <row r="59" spans="1:21" x14ac:dyDescent="0.2">
      <c r="A59">
        <v>1313130920</v>
      </c>
      <c r="B59" t="s">
        <v>1916</v>
      </c>
      <c r="C59" s="929">
        <v>-145710</v>
      </c>
      <c r="D59" s="930">
        <v>-146325</v>
      </c>
      <c r="E59">
        <v>0</v>
      </c>
      <c r="F59" s="930">
        <v>-146325</v>
      </c>
      <c r="I59" s="929"/>
      <c r="J59" s="930"/>
      <c r="L59" s="930"/>
      <c r="M59" s="930"/>
      <c r="S59" s="930"/>
      <c r="U59" s="930"/>
    </row>
    <row r="60" spans="1:21" x14ac:dyDescent="0.2">
      <c r="A60">
        <v>1313131920</v>
      </c>
      <c r="B60" t="s">
        <v>1210</v>
      </c>
      <c r="C60" s="929">
        <v>-48411</v>
      </c>
      <c r="D60" s="930">
        <v>16563.54</v>
      </c>
      <c r="E60">
        <v>0</v>
      </c>
      <c r="F60" s="930">
        <v>16563.54</v>
      </c>
      <c r="G60" s="930"/>
      <c r="I60" s="929"/>
      <c r="J60" s="930"/>
      <c r="L60" s="930"/>
      <c r="M60" s="930"/>
      <c r="S60" s="930"/>
      <c r="U60" s="930"/>
    </row>
    <row r="61" spans="1:21" x14ac:dyDescent="0.2">
      <c r="A61">
        <v>1313140920</v>
      </c>
      <c r="B61" t="s">
        <v>1917</v>
      </c>
      <c r="C61" s="929">
        <v>-6039</v>
      </c>
      <c r="D61" s="930">
        <v>-6356.12</v>
      </c>
      <c r="E61">
        <v>0</v>
      </c>
      <c r="F61" s="930">
        <v>-6356.12</v>
      </c>
      <c r="I61" s="929"/>
      <c r="J61" s="930"/>
      <c r="L61" s="930"/>
      <c r="M61" s="930"/>
      <c r="S61" s="930"/>
      <c r="U61" s="930"/>
    </row>
    <row r="62" spans="1:21" x14ac:dyDescent="0.2">
      <c r="A62">
        <v>1313150420</v>
      </c>
      <c r="B62" t="s">
        <v>1870</v>
      </c>
      <c r="C62" s="929">
        <v>-56232</v>
      </c>
      <c r="D62" s="930">
        <v>-3168.8</v>
      </c>
      <c r="E62">
        <v>0</v>
      </c>
      <c r="F62" s="930">
        <v>-3168.8</v>
      </c>
      <c r="G62" s="930"/>
      <c r="I62" s="929"/>
      <c r="J62" s="930"/>
      <c r="L62" s="930"/>
      <c r="M62" s="930"/>
      <c r="S62" s="930"/>
      <c r="U62" s="930"/>
    </row>
    <row r="63" spans="1:21" x14ac:dyDescent="0.2">
      <c r="A63">
        <v>1313200920</v>
      </c>
      <c r="B63" t="s">
        <v>1918</v>
      </c>
      <c r="C63" s="929">
        <v>-61560</v>
      </c>
      <c r="D63" s="930">
        <v>-60522.04</v>
      </c>
      <c r="E63">
        <v>0</v>
      </c>
      <c r="F63" s="930">
        <v>-60522.04</v>
      </c>
      <c r="G63" s="930"/>
      <c r="I63" s="929"/>
      <c r="J63" s="930"/>
      <c r="L63" s="930"/>
      <c r="M63" s="930"/>
      <c r="S63" s="930"/>
      <c r="U63" s="930"/>
    </row>
    <row r="64" spans="1:21" x14ac:dyDescent="0.2">
      <c r="A64">
        <v>1313201920</v>
      </c>
      <c r="B64" t="s">
        <v>1919</v>
      </c>
      <c r="C64" s="929">
        <v>-57951</v>
      </c>
      <c r="D64" s="930">
        <v>-116893.14</v>
      </c>
      <c r="E64">
        <v>0</v>
      </c>
      <c r="F64" s="930">
        <v>-116893.14</v>
      </c>
      <c r="G64" s="930"/>
      <c r="I64" s="929"/>
      <c r="J64" s="930"/>
      <c r="L64" s="930"/>
      <c r="M64" s="930"/>
      <c r="S64" s="930"/>
      <c r="U64" s="930"/>
    </row>
    <row r="65" spans="1:21" x14ac:dyDescent="0.2">
      <c r="A65">
        <v>1313202920</v>
      </c>
      <c r="B65" t="s">
        <v>1920</v>
      </c>
      <c r="C65" s="929">
        <v>-30033</v>
      </c>
      <c r="D65" s="930">
        <v>-31424.53</v>
      </c>
      <c r="E65">
        <v>0</v>
      </c>
      <c r="F65" s="930">
        <v>-31424.53</v>
      </c>
      <c r="G65" s="930"/>
      <c r="I65" s="929"/>
      <c r="J65" s="930"/>
      <c r="L65" s="930"/>
      <c r="M65" s="930"/>
      <c r="S65" s="930"/>
      <c r="U65" s="930"/>
    </row>
    <row r="66" spans="1:21" x14ac:dyDescent="0.2">
      <c r="A66">
        <v>1313203920</v>
      </c>
      <c r="B66" t="s">
        <v>1216</v>
      </c>
      <c r="C66" s="929">
        <v>-12312</v>
      </c>
      <c r="D66">
        <v>0</v>
      </c>
      <c r="E66">
        <v>0</v>
      </c>
      <c r="F66">
        <v>0</v>
      </c>
      <c r="G66" s="930"/>
      <c r="I66" s="929"/>
      <c r="M66" s="930"/>
    </row>
    <row r="67" spans="1:21" x14ac:dyDescent="0.2">
      <c r="A67">
        <v>1313206410</v>
      </c>
      <c r="B67" t="s">
        <v>271</v>
      </c>
      <c r="C67">
        <v>0</v>
      </c>
      <c r="D67">
        <v>0</v>
      </c>
      <c r="E67">
        <v>0</v>
      </c>
      <c r="F67">
        <v>0</v>
      </c>
    </row>
    <row r="68" spans="1:21" x14ac:dyDescent="0.2">
      <c r="A68">
        <v>1313210920</v>
      </c>
      <c r="B68" t="s">
        <v>1921</v>
      </c>
      <c r="C68" s="929">
        <v>-20943</v>
      </c>
      <c r="D68" s="930">
        <v>-21643.279999999999</v>
      </c>
      <c r="E68">
        <v>0</v>
      </c>
      <c r="F68" s="930">
        <v>-21643.279999999999</v>
      </c>
      <c r="I68" s="929"/>
      <c r="J68" s="930"/>
      <c r="L68" s="930"/>
      <c r="M68" s="930"/>
      <c r="S68" s="930"/>
      <c r="U68" s="930"/>
    </row>
    <row r="69" spans="1:21" x14ac:dyDescent="0.2">
      <c r="A69">
        <v>1313211920</v>
      </c>
      <c r="B69" t="s">
        <v>1218</v>
      </c>
      <c r="C69" s="929">
        <v>-20142</v>
      </c>
      <c r="D69" s="930">
        <v>-40621</v>
      </c>
      <c r="E69">
        <v>0</v>
      </c>
      <c r="F69" s="930">
        <v>-40621</v>
      </c>
      <c r="G69" s="930"/>
      <c r="I69" s="929"/>
      <c r="J69" s="930"/>
      <c r="L69" s="930"/>
      <c r="M69" s="930"/>
      <c r="S69" s="930"/>
      <c r="U69" s="930"/>
    </row>
    <row r="70" spans="1:21" x14ac:dyDescent="0.2">
      <c r="A70">
        <v>1313212920</v>
      </c>
      <c r="B70" t="s">
        <v>1922</v>
      </c>
      <c r="C70" s="929">
        <v>-60345</v>
      </c>
      <c r="D70" s="930">
        <v>-63125.87</v>
      </c>
      <c r="E70">
        <v>0</v>
      </c>
      <c r="F70" s="930">
        <v>-63125.87</v>
      </c>
      <c r="G70" s="930"/>
      <c r="I70" s="929"/>
      <c r="J70" s="930"/>
      <c r="L70" s="930"/>
      <c r="M70" s="930"/>
      <c r="S70" s="930"/>
      <c r="U70" s="930"/>
    </row>
    <row r="71" spans="1:21" x14ac:dyDescent="0.2">
      <c r="A71">
        <v>1313213920</v>
      </c>
      <c r="B71" t="s">
        <v>1923</v>
      </c>
      <c r="C71" s="929">
        <v>-51354</v>
      </c>
      <c r="D71" s="930">
        <v>-51117</v>
      </c>
      <c r="E71">
        <v>0</v>
      </c>
      <c r="F71" s="930">
        <v>-51117</v>
      </c>
      <c r="I71" s="929"/>
      <c r="J71" s="930"/>
      <c r="L71" s="930"/>
      <c r="M71" s="930"/>
      <c r="S71" s="930"/>
      <c r="U71" s="930"/>
    </row>
    <row r="72" spans="1:21" x14ac:dyDescent="0.2">
      <c r="A72">
        <v>1313214920</v>
      </c>
      <c r="B72" t="s">
        <v>1924</v>
      </c>
      <c r="C72" s="929">
        <v>-1503</v>
      </c>
      <c r="D72">
        <v>0</v>
      </c>
      <c r="E72">
        <v>0</v>
      </c>
      <c r="F72">
        <v>0</v>
      </c>
      <c r="G72" s="930"/>
      <c r="I72" s="929"/>
      <c r="M72" s="930"/>
    </row>
    <row r="73" spans="1:21" x14ac:dyDescent="0.2">
      <c r="A73">
        <v>1313220920</v>
      </c>
      <c r="B73" t="s">
        <v>1925</v>
      </c>
      <c r="C73" s="929">
        <v>-12744</v>
      </c>
      <c r="D73" s="930">
        <v>-8453.2000000000007</v>
      </c>
      <c r="E73">
        <v>0</v>
      </c>
      <c r="F73" s="930">
        <v>-8453.2000000000007</v>
      </c>
      <c r="G73" s="930"/>
      <c r="I73" s="929"/>
      <c r="J73" s="930"/>
      <c r="L73" s="930"/>
      <c r="M73" s="930"/>
      <c r="S73" s="930"/>
      <c r="U73" s="930"/>
    </row>
    <row r="74" spans="1:21" x14ac:dyDescent="0.2">
      <c r="A74">
        <v>1313310920</v>
      </c>
      <c r="B74" t="s">
        <v>1222</v>
      </c>
      <c r="C74" s="929">
        <v>-149940</v>
      </c>
      <c r="D74" s="930">
        <v>-150600.04</v>
      </c>
      <c r="E74">
        <v>0</v>
      </c>
      <c r="F74" s="930">
        <v>-150600.04</v>
      </c>
      <c r="I74" s="929"/>
      <c r="J74" s="930"/>
      <c r="L74" s="930"/>
      <c r="M74" s="930"/>
      <c r="S74" s="930"/>
      <c r="U74" s="930"/>
    </row>
    <row r="75" spans="1:21" x14ac:dyDescent="0.2">
      <c r="A75">
        <v>1313311920</v>
      </c>
      <c r="B75" t="s">
        <v>1926</v>
      </c>
      <c r="C75" s="929">
        <v>-32049</v>
      </c>
      <c r="D75" s="930">
        <v>-54605.83</v>
      </c>
      <c r="E75">
        <v>0</v>
      </c>
      <c r="F75" s="930">
        <v>-54605.83</v>
      </c>
      <c r="G75" s="930"/>
      <c r="I75" s="929"/>
      <c r="J75" s="930"/>
      <c r="L75" s="930"/>
      <c r="M75" s="930"/>
      <c r="S75" s="930"/>
      <c r="U75" s="930"/>
    </row>
    <row r="76" spans="1:21" x14ac:dyDescent="0.2">
      <c r="A76">
        <v>1313312920</v>
      </c>
      <c r="B76" t="s">
        <v>1927</v>
      </c>
      <c r="C76" s="929">
        <v>-146610</v>
      </c>
      <c r="D76" s="930">
        <v>-148784.31</v>
      </c>
      <c r="E76">
        <v>0</v>
      </c>
      <c r="F76" s="930">
        <v>-148784.31</v>
      </c>
      <c r="G76" s="930"/>
      <c r="I76" s="929"/>
      <c r="J76" s="930"/>
      <c r="L76" s="930"/>
      <c r="M76" s="930"/>
      <c r="S76" s="930"/>
      <c r="U76" s="930"/>
    </row>
    <row r="77" spans="1:21" x14ac:dyDescent="0.2">
      <c r="A77">
        <v>1313313920</v>
      </c>
      <c r="B77" t="s">
        <v>1928</v>
      </c>
      <c r="C77" s="929">
        <v>-188406</v>
      </c>
      <c r="D77" s="930">
        <v>-167540</v>
      </c>
      <c r="E77">
        <v>0</v>
      </c>
      <c r="F77" s="930">
        <v>-167540</v>
      </c>
      <c r="G77" s="930"/>
      <c r="I77" s="929"/>
      <c r="J77" s="930"/>
      <c r="L77" s="930"/>
      <c r="M77" s="930"/>
      <c r="S77" s="930"/>
      <c r="U77" s="930"/>
    </row>
    <row r="78" spans="1:21" x14ac:dyDescent="0.2">
      <c r="A78">
        <v>1313600920</v>
      </c>
      <c r="B78" t="s">
        <v>1929</v>
      </c>
      <c r="C78" s="929">
        <v>-6966</v>
      </c>
      <c r="D78" s="930">
        <v>-6197.12</v>
      </c>
      <c r="E78">
        <v>0</v>
      </c>
      <c r="F78" s="930">
        <v>-6197.12</v>
      </c>
      <c r="I78" s="929"/>
      <c r="J78" s="930"/>
      <c r="L78" s="930"/>
      <c r="M78" s="930"/>
      <c r="S78" s="930"/>
      <c r="U78" s="930"/>
    </row>
    <row r="79" spans="1:21" x14ac:dyDescent="0.2">
      <c r="A79">
        <v>1313610920</v>
      </c>
      <c r="B79" t="s">
        <v>1930</v>
      </c>
      <c r="C79" s="929">
        <v>-14994</v>
      </c>
      <c r="D79" s="930">
        <v>-14999.94</v>
      </c>
      <c r="E79">
        <v>0</v>
      </c>
      <c r="F79" s="930">
        <v>-14999.94</v>
      </c>
      <c r="I79" s="929"/>
      <c r="J79" s="930"/>
      <c r="L79" s="930"/>
      <c r="M79" s="930"/>
      <c r="S79" s="930"/>
      <c r="U79" s="930"/>
    </row>
    <row r="80" spans="1:21" x14ac:dyDescent="0.2">
      <c r="A80">
        <v>1313800420</v>
      </c>
      <c r="B80" t="s">
        <v>1871</v>
      </c>
      <c r="C80">
        <v>0</v>
      </c>
      <c r="D80" s="930">
        <v>-31055</v>
      </c>
      <c r="E80">
        <v>0</v>
      </c>
      <c r="F80" s="930">
        <v>-31055</v>
      </c>
      <c r="G80" s="930"/>
      <c r="J80" s="930"/>
      <c r="L80" s="930"/>
      <c r="M80" s="930"/>
      <c r="S80" s="930"/>
      <c r="U80" s="930"/>
    </row>
    <row r="81" spans="1:21" x14ac:dyDescent="0.2">
      <c r="A81">
        <v>1313800920</v>
      </c>
      <c r="B81" t="s">
        <v>1226</v>
      </c>
      <c r="C81" s="929">
        <v>-296136</v>
      </c>
      <c r="D81" s="930">
        <v>-394770</v>
      </c>
      <c r="E81">
        <v>0</v>
      </c>
      <c r="F81" s="930">
        <v>-394770</v>
      </c>
      <c r="G81" s="930"/>
      <c r="I81" s="929"/>
      <c r="J81" s="930"/>
      <c r="L81" s="930"/>
      <c r="S81" s="930"/>
      <c r="U81" s="930"/>
    </row>
    <row r="82" spans="1:21" x14ac:dyDescent="0.2">
      <c r="A82">
        <v>1314000920</v>
      </c>
      <c r="B82" t="s">
        <v>1931</v>
      </c>
      <c r="C82" s="929">
        <v>-1142991</v>
      </c>
      <c r="D82" s="930">
        <v>-1121554.24</v>
      </c>
      <c r="E82">
        <v>0</v>
      </c>
      <c r="F82" s="930">
        <v>-1121554.24</v>
      </c>
      <c r="G82" s="930"/>
      <c r="I82" s="929"/>
      <c r="J82" s="930"/>
      <c r="L82" s="930"/>
      <c r="M82" s="930"/>
      <c r="S82" s="930"/>
      <c r="U82" s="930"/>
    </row>
    <row r="83" spans="1:21" x14ac:dyDescent="0.2">
      <c r="A83">
        <v>1314001920</v>
      </c>
      <c r="B83" t="s">
        <v>1932</v>
      </c>
      <c r="C83">
        <v>0</v>
      </c>
      <c r="D83">
        <v>-728</v>
      </c>
      <c r="E83">
        <v>0</v>
      </c>
      <c r="F83">
        <v>-728</v>
      </c>
    </row>
    <row r="84" spans="1:21" x14ac:dyDescent="0.2">
      <c r="A84">
        <v>1314100920</v>
      </c>
      <c r="B84" t="s">
        <v>1933</v>
      </c>
      <c r="C84">
        <v>0</v>
      </c>
      <c r="D84">
        <v>0</v>
      </c>
      <c r="E84">
        <v>0</v>
      </c>
      <c r="F84">
        <v>0</v>
      </c>
    </row>
    <row r="85" spans="1:21" x14ac:dyDescent="0.2">
      <c r="A85">
        <v>1315000920</v>
      </c>
      <c r="B85" t="s">
        <v>1934</v>
      </c>
      <c r="C85" s="929">
        <v>-314874</v>
      </c>
      <c r="D85" s="930">
        <v>-517702.12</v>
      </c>
      <c r="E85">
        <v>0</v>
      </c>
      <c r="F85" s="930">
        <v>-517702.12</v>
      </c>
      <c r="G85" s="930"/>
      <c r="I85" s="929"/>
      <c r="J85" s="930"/>
      <c r="L85" s="930"/>
      <c r="M85" s="930"/>
      <c r="S85" s="930"/>
      <c r="U85" s="930"/>
    </row>
    <row r="86" spans="1:21" x14ac:dyDescent="0.2">
      <c r="A86">
        <v>1315100920</v>
      </c>
      <c r="B86" t="s">
        <v>1202</v>
      </c>
      <c r="C86" s="929">
        <v>-1503</v>
      </c>
      <c r="D86" s="930">
        <v>-1002.32</v>
      </c>
      <c r="E86">
        <v>0</v>
      </c>
      <c r="F86" s="930">
        <v>-1002.32</v>
      </c>
      <c r="I86" s="929"/>
      <c r="J86" s="930"/>
      <c r="L86" s="930"/>
      <c r="M86" s="930"/>
      <c r="S86" s="930"/>
      <c r="U86" s="930"/>
    </row>
    <row r="87" spans="1:21" x14ac:dyDescent="0.2">
      <c r="A87">
        <v>1315500920</v>
      </c>
      <c r="B87" t="s">
        <v>1935</v>
      </c>
      <c r="C87" s="929">
        <v>-14994</v>
      </c>
      <c r="D87" s="930">
        <v>-23694.63</v>
      </c>
      <c r="E87">
        <v>0</v>
      </c>
      <c r="F87" s="930">
        <v>-23694.63</v>
      </c>
      <c r="G87" s="930"/>
      <c r="I87" s="929"/>
      <c r="J87" s="930"/>
      <c r="L87" s="930"/>
      <c r="M87" s="930"/>
      <c r="S87" s="930"/>
      <c r="U87" s="930"/>
    </row>
    <row r="88" spans="1:21" x14ac:dyDescent="0.2">
      <c r="A88">
        <v>1315700920</v>
      </c>
      <c r="B88" t="s">
        <v>1936</v>
      </c>
      <c r="C88" s="929">
        <v>-6246</v>
      </c>
      <c r="D88" s="930">
        <v>-6666.64</v>
      </c>
      <c r="E88">
        <v>0</v>
      </c>
      <c r="F88" s="930">
        <v>-6666.64</v>
      </c>
      <c r="I88" s="929"/>
      <c r="J88" s="930"/>
      <c r="L88" s="930"/>
      <c r="M88" s="930"/>
      <c r="S88" s="930"/>
      <c r="U88" s="930"/>
    </row>
    <row r="89" spans="1:21" x14ac:dyDescent="0.2">
      <c r="A89">
        <v>1317100920</v>
      </c>
      <c r="B89" t="s">
        <v>1937</v>
      </c>
      <c r="C89" s="929">
        <v>-433323</v>
      </c>
      <c r="D89" s="930">
        <v>-20177.14</v>
      </c>
      <c r="E89">
        <v>0</v>
      </c>
      <c r="F89" s="930">
        <v>-20177.14</v>
      </c>
      <c r="G89" s="930"/>
      <c r="I89" s="929"/>
      <c r="J89" s="930"/>
      <c r="L89" s="930"/>
      <c r="M89" s="930"/>
      <c r="S89" s="930"/>
      <c r="U89" s="930"/>
    </row>
    <row r="90" spans="1:21" x14ac:dyDescent="0.2">
      <c r="A90">
        <v>1317101920</v>
      </c>
      <c r="B90" t="s">
        <v>1232</v>
      </c>
      <c r="C90" s="929">
        <v>-34704</v>
      </c>
      <c r="D90" s="930">
        <v>-34372.82</v>
      </c>
      <c r="E90">
        <v>0</v>
      </c>
      <c r="F90" s="930">
        <v>-34372.82</v>
      </c>
      <c r="I90" s="929"/>
      <c r="J90" s="930"/>
      <c r="L90" s="930"/>
      <c r="M90" s="930"/>
      <c r="S90" s="930"/>
      <c r="U90" s="930"/>
    </row>
    <row r="91" spans="1:21" x14ac:dyDescent="0.2">
      <c r="A91">
        <v>1317110920</v>
      </c>
      <c r="B91" t="s">
        <v>1938</v>
      </c>
      <c r="C91" s="929">
        <v>-107982</v>
      </c>
      <c r="D91">
        <v>276.01</v>
      </c>
      <c r="E91">
        <v>0</v>
      </c>
      <c r="F91">
        <v>276.01</v>
      </c>
      <c r="G91" s="930"/>
      <c r="I91" s="929"/>
      <c r="M91" s="930"/>
    </row>
    <row r="92" spans="1:21" x14ac:dyDescent="0.2">
      <c r="A92">
        <v>1317120920</v>
      </c>
      <c r="B92" t="s">
        <v>1233</v>
      </c>
      <c r="C92" s="929">
        <v>-31491</v>
      </c>
      <c r="D92" s="930">
        <v>-38270</v>
      </c>
      <c r="E92">
        <v>0</v>
      </c>
      <c r="F92" s="930">
        <v>-38270</v>
      </c>
      <c r="G92" s="930"/>
      <c r="I92" s="929"/>
      <c r="J92" s="930"/>
      <c r="L92" s="930"/>
      <c r="M92" s="930"/>
      <c r="S92" s="930"/>
      <c r="U92" s="930"/>
    </row>
    <row r="93" spans="1:21" x14ac:dyDescent="0.2">
      <c r="A93">
        <v>1317130920</v>
      </c>
      <c r="B93" t="s">
        <v>1939</v>
      </c>
      <c r="C93" s="929">
        <v>-7497</v>
      </c>
      <c r="D93" s="930">
        <v>-7161</v>
      </c>
      <c r="E93">
        <v>0</v>
      </c>
      <c r="F93" s="930">
        <v>-7161</v>
      </c>
      <c r="I93" s="929"/>
      <c r="J93" s="930"/>
      <c r="L93" s="930"/>
      <c r="M93" s="930"/>
      <c r="S93" s="930"/>
      <c r="U93" s="930"/>
    </row>
    <row r="94" spans="1:21" x14ac:dyDescent="0.2">
      <c r="A94">
        <v>1317200920</v>
      </c>
      <c r="B94" t="s">
        <v>1940</v>
      </c>
      <c r="C94" s="929">
        <v>-14355</v>
      </c>
      <c r="D94">
        <v>-548.41</v>
      </c>
      <c r="E94">
        <v>0</v>
      </c>
      <c r="F94">
        <v>-548.41</v>
      </c>
      <c r="G94" s="930"/>
      <c r="I94" s="929"/>
      <c r="M94" s="930"/>
    </row>
    <row r="95" spans="1:21" x14ac:dyDescent="0.2">
      <c r="A95">
        <v>1317300920</v>
      </c>
      <c r="B95" t="s">
        <v>1941</v>
      </c>
      <c r="C95" s="929">
        <v>-508158</v>
      </c>
      <c r="D95" s="930">
        <v>-506149.62</v>
      </c>
      <c r="E95">
        <v>0</v>
      </c>
      <c r="F95" s="930">
        <v>-506149.62</v>
      </c>
      <c r="G95" s="930"/>
      <c r="I95" s="929"/>
      <c r="J95" s="930"/>
      <c r="L95" s="930"/>
      <c r="M95" s="930"/>
      <c r="S95" s="930"/>
      <c r="U95" s="930"/>
    </row>
    <row r="96" spans="1:21" x14ac:dyDescent="0.2">
      <c r="A96">
        <v>1317310920</v>
      </c>
      <c r="B96" t="s">
        <v>1942</v>
      </c>
      <c r="C96" s="929">
        <v>-31527</v>
      </c>
      <c r="D96" s="930">
        <v>-24531.5</v>
      </c>
      <c r="E96">
        <v>0</v>
      </c>
      <c r="F96" s="930">
        <v>-24531.5</v>
      </c>
      <c r="G96" s="930"/>
      <c r="I96" s="929"/>
      <c r="J96" s="930"/>
      <c r="L96" s="930"/>
      <c r="M96" s="930"/>
      <c r="S96" s="930"/>
      <c r="U96" s="930"/>
    </row>
    <row r="97" spans="1:21" x14ac:dyDescent="0.2">
      <c r="A97">
        <v>1317500420</v>
      </c>
      <c r="B97" t="s">
        <v>1872</v>
      </c>
      <c r="C97" s="929">
        <v>-51696</v>
      </c>
      <c r="D97" s="930">
        <v>-34475</v>
      </c>
      <c r="E97">
        <v>0</v>
      </c>
      <c r="F97" s="930">
        <v>-34475</v>
      </c>
      <c r="G97" s="930"/>
      <c r="I97" s="929"/>
      <c r="J97" s="930"/>
      <c r="L97" s="930"/>
      <c r="M97" s="930"/>
      <c r="S97" s="930"/>
      <c r="U97" s="930"/>
    </row>
    <row r="98" spans="1:21" x14ac:dyDescent="0.2">
      <c r="A98">
        <v>1317600490</v>
      </c>
      <c r="B98" t="s">
        <v>1873</v>
      </c>
      <c r="C98">
        <v>0</v>
      </c>
      <c r="D98">
        <v>0</v>
      </c>
      <c r="E98">
        <v>0</v>
      </c>
      <c r="F98">
        <v>0</v>
      </c>
    </row>
    <row r="99" spans="1:21" x14ac:dyDescent="0.2">
      <c r="A99">
        <v>1317600920</v>
      </c>
      <c r="B99" t="s">
        <v>1943</v>
      </c>
      <c r="C99" s="929">
        <v>-95130</v>
      </c>
      <c r="D99" s="930">
        <v>-94188.36</v>
      </c>
      <c r="E99">
        <v>0</v>
      </c>
      <c r="F99" s="930">
        <v>-94188.36</v>
      </c>
      <c r="I99" s="929"/>
      <c r="J99" s="930"/>
      <c r="L99" s="930"/>
      <c r="M99" s="930"/>
      <c r="S99" s="930"/>
      <c r="U99" s="930"/>
    </row>
    <row r="100" spans="1:21" x14ac:dyDescent="0.2">
      <c r="A100">
        <v>1317700920</v>
      </c>
      <c r="B100" t="s">
        <v>1239</v>
      </c>
      <c r="C100" s="929">
        <v>-49032</v>
      </c>
      <c r="D100" s="930">
        <v>-43907.8</v>
      </c>
      <c r="E100">
        <v>0</v>
      </c>
      <c r="F100" s="930">
        <v>-43907.8</v>
      </c>
      <c r="G100" s="930"/>
      <c r="I100" s="929"/>
      <c r="J100" s="930"/>
      <c r="L100" s="930"/>
      <c r="M100" s="930"/>
      <c r="S100" s="930"/>
      <c r="U100" s="930"/>
    </row>
    <row r="101" spans="1:21" x14ac:dyDescent="0.2">
      <c r="A101">
        <v>1317800920</v>
      </c>
      <c r="B101" t="s">
        <v>1944</v>
      </c>
      <c r="C101" s="929">
        <v>-1061253</v>
      </c>
      <c r="D101" s="930">
        <v>-784524.4</v>
      </c>
      <c r="E101">
        <v>0</v>
      </c>
      <c r="F101" s="930">
        <v>-784524.4</v>
      </c>
      <c r="G101" s="930"/>
      <c r="I101" s="929"/>
      <c r="J101" s="930"/>
      <c r="L101" s="930"/>
      <c r="M101" s="930"/>
      <c r="S101" s="930"/>
      <c r="U101" s="930"/>
    </row>
    <row r="102" spans="1:21" x14ac:dyDescent="0.2">
      <c r="A102">
        <v>1317801210</v>
      </c>
      <c r="B102" t="s">
        <v>2792</v>
      </c>
      <c r="C102">
        <v>0</v>
      </c>
      <c r="D102" s="930">
        <v>-160019.5</v>
      </c>
      <c r="E102">
        <v>0</v>
      </c>
      <c r="F102" s="930">
        <v>-160019.5</v>
      </c>
      <c r="G102" s="930"/>
      <c r="J102" s="930"/>
      <c r="L102" s="930"/>
      <c r="M102" s="930"/>
      <c r="S102" s="930"/>
      <c r="U102" s="930"/>
    </row>
    <row r="103" spans="1:21" x14ac:dyDescent="0.2">
      <c r="A103">
        <v>1317801920</v>
      </c>
      <c r="B103" t="s">
        <v>2793</v>
      </c>
      <c r="C103">
        <v>0</v>
      </c>
      <c r="D103">
        <v>0</v>
      </c>
      <c r="E103">
        <v>0</v>
      </c>
      <c r="F103">
        <v>0</v>
      </c>
    </row>
    <row r="104" spans="1:21" x14ac:dyDescent="0.2">
      <c r="A104">
        <v>1317810920</v>
      </c>
      <c r="B104" t="s">
        <v>1945</v>
      </c>
      <c r="C104" s="929">
        <v>-610623</v>
      </c>
      <c r="D104" s="930">
        <v>-457575.06</v>
      </c>
      <c r="E104">
        <v>0</v>
      </c>
      <c r="F104" s="930">
        <v>-457575.06</v>
      </c>
      <c r="G104" s="930"/>
      <c r="I104" s="929"/>
      <c r="J104" s="930"/>
      <c r="L104" s="930"/>
      <c r="M104" s="930"/>
      <c r="S104" s="930"/>
      <c r="U104" s="930"/>
    </row>
    <row r="105" spans="1:21" x14ac:dyDescent="0.2">
      <c r="A105">
        <v>1317820920</v>
      </c>
      <c r="B105" t="s">
        <v>1946</v>
      </c>
      <c r="C105" s="929">
        <v>-169434</v>
      </c>
      <c r="D105">
        <v>0</v>
      </c>
      <c r="E105">
        <v>0</v>
      </c>
      <c r="F105">
        <v>0</v>
      </c>
      <c r="G105" s="930"/>
      <c r="I105" s="929"/>
      <c r="M105" s="930"/>
    </row>
    <row r="106" spans="1:21" x14ac:dyDescent="0.2">
      <c r="A106">
        <v>1317900920</v>
      </c>
      <c r="B106" t="s">
        <v>1947</v>
      </c>
      <c r="C106">
        <v>0</v>
      </c>
      <c r="D106">
        <v>0</v>
      </c>
      <c r="E106">
        <v>0</v>
      </c>
      <c r="F106">
        <v>0</v>
      </c>
    </row>
    <row r="107" spans="1:21" x14ac:dyDescent="0.2">
      <c r="A107">
        <v>1317901920</v>
      </c>
      <c r="B107" t="s">
        <v>1243</v>
      </c>
      <c r="C107" s="929">
        <v>-26595</v>
      </c>
      <c r="D107" s="930">
        <v>-10068.200000000001</v>
      </c>
      <c r="E107">
        <v>0</v>
      </c>
      <c r="F107" s="930">
        <v>-10068.200000000001</v>
      </c>
      <c r="G107" s="930"/>
      <c r="I107" s="929"/>
      <c r="J107" s="930"/>
      <c r="L107" s="930"/>
      <c r="M107" s="930"/>
      <c r="S107" s="930"/>
      <c r="U107" s="930"/>
    </row>
    <row r="108" spans="1:21" x14ac:dyDescent="0.2">
      <c r="A108">
        <v>1317910920</v>
      </c>
      <c r="B108" t="s">
        <v>1244</v>
      </c>
      <c r="C108" s="929">
        <v>8244</v>
      </c>
      <c r="D108" s="930">
        <v>10771.18</v>
      </c>
      <c r="E108">
        <v>0</v>
      </c>
      <c r="F108" s="930">
        <v>10771.18</v>
      </c>
      <c r="G108" s="930"/>
      <c r="I108" s="929"/>
      <c r="J108" s="930"/>
      <c r="L108" s="930"/>
      <c r="S108" s="930"/>
      <c r="U108" s="930"/>
    </row>
    <row r="109" spans="1:21" x14ac:dyDescent="0.2">
      <c r="A109">
        <v>1317920920</v>
      </c>
      <c r="B109" t="s">
        <v>1948</v>
      </c>
      <c r="C109">
        <v>0</v>
      </c>
      <c r="D109">
        <v>0</v>
      </c>
      <c r="E109">
        <v>0</v>
      </c>
      <c r="F109">
        <v>0</v>
      </c>
    </row>
    <row r="110" spans="1:21" x14ac:dyDescent="0.2">
      <c r="A110">
        <v>1319100920</v>
      </c>
      <c r="B110" t="s">
        <v>1038</v>
      </c>
      <c r="C110" s="929">
        <v>-98064</v>
      </c>
      <c r="D110">
        <v>0</v>
      </c>
      <c r="E110">
        <v>0</v>
      </c>
      <c r="F110">
        <v>0</v>
      </c>
      <c r="G110" s="930"/>
      <c r="I110" s="929"/>
      <c r="M110" s="930"/>
    </row>
    <row r="111" spans="1:21" x14ac:dyDescent="0.2">
      <c r="A111">
        <v>1319110920</v>
      </c>
      <c r="B111" t="s">
        <v>1949</v>
      </c>
      <c r="C111">
        <v>0</v>
      </c>
      <c r="D111">
        <v>0</v>
      </c>
      <c r="E111">
        <v>0</v>
      </c>
      <c r="F111">
        <v>0</v>
      </c>
    </row>
    <row r="112" spans="1:21" x14ac:dyDescent="0.2">
      <c r="A112">
        <v>1322000740</v>
      </c>
      <c r="B112" t="s">
        <v>2000</v>
      </c>
      <c r="C112">
        <v>0</v>
      </c>
      <c r="D112">
        <v>0</v>
      </c>
      <c r="E112">
        <v>0</v>
      </c>
      <c r="F112">
        <v>0</v>
      </c>
    </row>
    <row r="113" spans="1:21" x14ac:dyDescent="0.2">
      <c r="A113">
        <v>1322000940</v>
      </c>
      <c r="B113" t="s">
        <v>2001</v>
      </c>
      <c r="C113">
        <v>0</v>
      </c>
      <c r="D113">
        <v>0</v>
      </c>
      <c r="E113">
        <v>0</v>
      </c>
      <c r="F113">
        <v>0</v>
      </c>
    </row>
    <row r="114" spans="1:21" x14ac:dyDescent="0.2">
      <c r="A114">
        <v>1322000970</v>
      </c>
      <c r="B114" t="s">
        <v>2002</v>
      </c>
      <c r="C114" s="929">
        <v>-128952</v>
      </c>
      <c r="D114" s="930">
        <v>-235000</v>
      </c>
      <c r="E114">
        <v>0</v>
      </c>
      <c r="F114" s="930">
        <v>-235000</v>
      </c>
      <c r="G114" s="930"/>
      <c r="I114" s="929"/>
      <c r="J114" s="930"/>
      <c r="L114" s="930"/>
      <c r="M114" s="930"/>
      <c r="S114" s="930"/>
      <c r="U114" s="930"/>
    </row>
    <row r="115" spans="1:21" x14ac:dyDescent="0.2">
      <c r="A115">
        <v>1323000990</v>
      </c>
      <c r="B115" t="s">
        <v>2794</v>
      </c>
      <c r="C115" s="929">
        <v>-59976</v>
      </c>
      <c r="D115">
        <v>0</v>
      </c>
      <c r="E115">
        <v>0</v>
      </c>
      <c r="F115">
        <v>0</v>
      </c>
      <c r="G115" s="930"/>
      <c r="I115" s="929"/>
      <c r="M115" s="930"/>
    </row>
    <row r="116" spans="1:21" x14ac:dyDescent="0.2">
      <c r="A116">
        <v>1325000420</v>
      </c>
      <c r="B116" t="s">
        <v>1884</v>
      </c>
      <c r="C116">
        <v>0</v>
      </c>
      <c r="D116" s="930">
        <v>-13750</v>
      </c>
      <c r="E116">
        <v>0</v>
      </c>
      <c r="F116" s="930">
        <v>-13750</v>
      </c>
      <c r="G116" s="930"/>
      <c r="J116" s="930"/>
      <c r="L116" s="930"/>
      <c r="M116" s="930"/>
      <c r="S116" s="930"/>
      <c r="U116" s="930"/>
    </row>
    <row r="117" spans="1:21" x14ac:dyDescent="0.2">
      <c r="A117">
        <v>1328200420</v>
      </c>
      <c r="B117" t="s">
        <v>1885</v>
      </c>
      <c r="C117">
        <v>0</v>
      </c>
      <c r="D117">
        <v>0</v>
      </c>
      <c r="E117">
        <v>0</v>
      </c>
      <c r="F117">
        <v>0</v>
      </c>
    </row>
    <row r="118" spans="1:21" x14ac:dyDescent="0.2">
      <c r="A118">
        <v>1328200970</v>
      </c>
      <c r="B118" t="s">
        <v>2003</v>
      </c>
      <c r="C118" s="929">
        <v>-136143</v>
      </c>
      <c r="D118">
        <v>0</v>
      </c>
      <c r="E118">
        <v>0</v>
      </c>
      <c r="F118">
        <v>0</v>
      </c>
      <c r="G118" s="930"/>
      <c r="I118" s="929"/>
      <c r="M118" s="930"/>
    </row>
    <row r="119" spans="1:21" x14ac:dyDescent="0.2">
      <c r="A119">
        <v>1328300420</v>
      </c>
      <c r="B119" t="s">
        <v>1886</v>
      </c>
      <c r="C119" s="929">
        <v>-18747</v>
      </c>
      <c r="D119" s="930">
        <v>-23460</v>
      </c>
      <c r="E119">
        <v>0</v>
      </c>
      <c r="F119" s="930">
        <v>-23460</v>
      </c>
      <c r="G119" s="930"/>
      <c r="I119" s="929"/>
      <c r="J119" s="930"/>
      <c r="L119" s="930"/>
      <c r="M119" s="930"/>
      <c r="S119" s="930"/>
      <c r="U119" s="930"/>
    </row>
    <row r="120" spans="1:21" x14ac:dyDescent="0.2">
      <c r="A120">
        <v>1328300970</v>
      </c>
      <c r="B120" t="s">
        <v>772</v>
      </c>
      <c r="C120" s="929">
        <v>-31860</v>
      </c>
      <c r="D120" s="930">
        <v>-6625</v>
      </c>
      <c r="E120">
        <v>0</v>
      </c>
      <c r="F120" s="930">
        <v>-6625</v>
      </c>
      <c r="G120" s="930"/>
      <c r="I120" s="929"/>
      <c r="J120" s="930"/>
      <c r="L120" s="930"/>
      <c r="M120" s="930"/>
      <c r="S120" s="930"/>
      <c r="U120" s="930"/>
    </row>
    <row r="121" spans="1:21" x14ac:dyDescent="0.2">
      <c r="A121">
        <v>1329300420</v>
      </c>
      <c r="B121" t="s">
        <v>1887</v>
      </c>
      <c r="C121" s="929">
        <v>-18747</v>
      </c>
      <c r="D121" s="930">
        <v>-10800</v>
      </c>
      <c r="E121">
        <v>0</v>
      </c>
      <c r="F121" s="930">
        <v>-10800</v>
      </c>
      <c r="G121" s="930"/>
      <c r="I121" s="929"/>
      <c r="J121" s="930"/>
      <c r="L121" s="930"/>
      <c r="M121" s="930"/>
      <c r="S121" s="930"/>
      <c r="U121" s="930"/>
    </row>
    <row r="122" spans="1:21" x14ac:dyDescent="0.2">
      <c r="A122">
        <v>1329300940</v>
      </c>
      <c r="B122" t="s">
        <v>2004</v>
      </c>
      <c r="C122" s="929">
        <v>-78723</v>
      </c>
      <c r="D122" s="930">
        <v>-194318</v>
      </c>
      <c r="E122">
        <v>0</v>
      </c>
      <c r="F122" s="930">
        <v>-194318</v>
      </c>
      <c r="G122" s="930"/>
      <c r="I122" s="929"/>
      <c r="J122" s="930"/>
      <c r="L122" s="930"/>
      <c r="M122" s="930"/>
      <c r="S122" s="930"/>
      <c r="U122" s="930"/>
    </row>
    <row r="123" spans="1:21" x14ac:dyDescent="0.2">
      <c r="A123">
        <v>1330000990</v>
      </c>
      <c r="B123" t="s">
        <v>2005</v>
      </c>
      <c r="C123">
        <v>0</v>
      </c>
      <c r="D123">
        <v>0</v>
      </c>
      <c r="E123">
        <v>0</v>
      </c>
      <c r="F123">
        <v>0</v>
      </c>
    </row>
    <row r="124" spans="1:21" x14ac:dyDescent="0.2">
      <c r="A124">
        <v>1341000930</v>
      </c>
      <c r="B124" t="s">
        <v>2795</v>
      </c>
      <c r="C124" s="929">
        <v>-1316421</v>
      </c>
      <c r="D124" s="930">
        <v>-684736</v>
      </c>
      <c r="E124">
        <v>0</v>
      </c>
      <c r="F124" s="930">
        <v>-684736</v>
      </c>
      <c r="G124" s="930"/>
      <c r="I124" s="929"/>
      <c r="J124" s="930"/>
      <c r="L124" s="930"/>
      <c r="M124" s="930"/>
      <c r="S124" s="930"/>
      <c r="U124" s="930"/>
    </row>
    <row r="125" spans="1:21" x14ac:dyDescent="0.2">
      <c r="A125">
        <v>1341002930</v>
      </c>
      <c r="B125" t="s">
        <v>1952</v>
      </c>
      <c r="C125" s="929">
        <v>-9342</v>
      </c>
      <c r="D125">
        <v>0</v>
      </c>
      <c r="E125">
        <v>0</v>
      </c>
      <c r="F125">
        <v>0</v>
      </c>
      <c r="G125" s="930"/>
      <c r="I125" s="929"/>
      <c r="M125" s="930"/>
    </row>
    <row r="126" spans="1:21" x14ac:dyDescent="0.2">
      <c r="A126">
        <v>1341021930</v>
      </c>
      <c r="B126" t="s">
        <v>1953</v>
      </c>
      <c r="C126">
        <v>0</v>
      </c>
      <c r="D126">
        <v>0</v>
      </c>
      <c r="E126">
        <v>0</v>
      </c>
      <c r="F126">
        <v>0</v>
      </c>
    </row>
    <row r="127" spans="1:21" x14ac:dyDescent="0.2">
      <c r="A127">
        <v>1342200930</v>
      </c>
      <c r="B127" t="s">
        <v>1257</v>
      </c>
      <c r="C127">
        <v>0</v>
      </c>
      <c r="D127">
        <v>0</v>
      </c>
      <c r="E127">
        <v>0</v>
      </c>
      <c r="F127">
        <v>0</v>
      </c>
    </row>
    <row r="128" spans="1:21" x14ac:dyDescent="0.2">
      <c r="A128">
        <v>1342201930</v>
      </c>
      <c r="B128" t="s">
        <v>1257</v>
      </c>
      <c r="C128" s="929">
        <v>-99000</v>
      </c>
      <c r="D128" s="930">
        <v>-63452</v>
      </c>
      <c r="E128">
        <v>0</v>
      </c>
      <c r="F128" s="930">
        <v>-63452</v>
      </c>
      <c r="G128" s="930"/>
      <c r="I128" s="929"/>
      <c r="J128" s="930"/>
      <c r="L128" s="930"/>
      <c r="M128" s="930"/>
      <c r="S128" s="930"/>
      <c r="U128" s="930"/>
    </row>
    <row r="129" spans="1:21" x14ac:dyDescent="0.2">
      <c r="A129">
        <v>1342210930</v>
      </c>
      <c r="B129" t="s">
        <v>1258</v>
      </c>
      <c r="C129" s="929">
        <v>-27963</v>
      </c>
      <c r="D129" s="930">
        <v>-22881</v>
      </c>
      <c r="E129">
        <v>0</v>
      </c>
      <c r="F129" s="930">
        <v>-22881</v>
      </c>
      <c r="G129" s="930"/>
      <c r="I129" s="929"/>
      <c r="J129" s="930"/>
      <c r="L129" s="930"/>
      <c r="M129" s="930"/>
      <c r="S129" s="930"/>
      <c r="U129" s="930"/>
    </row>
    <row r="130" spans="1:21" x14ac:dyDescent="0.2">
      <c r="A130">
        <v>1342218930</v>
      </c>
      <c r="B130" t="s">
        <v>803</v>
      </c>
      <c r="C130">
        <v>0</v>
      </c>
      <c r="D130">
        <v>0</v>
      </c>
      <c r="E130">
        <v>0</v>
      </c>
      <c r="F130">
        <v>0</v>
      </c>
    </row>
    <row r="131" spans="1:21" x14ac:dyDescent="0.2">
      <c r="A131">
        <v>1342220930</v>
      </c>
      <c r="B131" t="s">
        <v>803</v>
      </c>
      <c r="C131">
        <v>0</v>
      </c>
      <c r="D131">
        <v>0</v>
      </c>
      <c r="E131">
        <v>0</v>
      </c>
      <c r="F131">
        <v>0</v>
      </c>
    </row>
    <row r="132" spans="1:21" x14ac:dyDescent="0.2">
      <c r="A132">
        <v>1342222930</v>
      </c>
      <c r="B132" t="s">
        <v>803</v>
      </c>
      <c r="C132" s="929">
        <v>-27963</v>
      </c>
      <c r="D132" s="930">
        <v>-37797</v>
      </c>
      <c r="E132">
        <v>0</v>
      </c>
      <c r="F132" s="930">
        <v>-37797</v>
      </c>
      <c r="G132" s="930"/>
      <c r="I132" s="929"/>
      <c r="J132" s="930"/>
      <c r="L132" s="930"/>
      <c r="S132" s="930"/>
      <c r="U132" s="930"/>
    </row>
    <row r="133" spans="1:21" x14ac:dyDescent="0.2">
      <c r="A133">
        <v>1342226930</v>
      </c>
      <c r="B133" t="s">
        <v>1954</v>
      </c>
      <c r="C133">
        <v>0</v>
      </c>
      <c r="D133">
        <v>0</v>
      </c>
      <c r="E133">
        <v>0</v>
      </c>
      <c r="F133">
        <v>0</v>
      </c>
    </row>
    <row r="134" spans="1:21" x14ac:dyDescent="0.2">
      <c r="A134">
        <v>1342400093</v>
      </c>
      <c r="B134" t="s">
        <v>1259</v>
      </c>
      <c r="C134" s="929">
        <v>-196425</v>
      </c>
      <c r="D134">
        <v>0</v>
      </c>
      <c r="E134">
        <v>0</v>
      </c>
      <c r="F134">
        <v>0</v>
      </c>
      <c r="G134" s="930"/>
      <c r="I134" s="929"/>
      <c r="M134" s="930"/>
    </row>
    <row r="135" spans="1:21" x14ac:dyDescent="0.2">
      <c r="A135">
        <v>1343500930</v>
      </c>
      <c r="B135" t="s">
        <v>1955</v>
      </c>
      <c r="C135" s="929">
        <v>-51354</v>
      </c>
      <c r="D135">
        <v>0</v>
      </c>
      <c r="E135">
        <v>0</v>
      </c>
      <c r="F135">
        <v>0</v>
      </c>
      <c r="G135" s="930"/>
      <c r="I135" s="929"/>
      <c r="M135" s="930"/>
    </row>
    <row r="136" spans="1:21" x14ac:dyDescent="0.2">
      <c r="A136">
        <v>1343513930</v>
      </c>
      <c r="B136" t="s">
        <v>1263</v>
      </c>
      <c r="C136" s="929">
        <v>-10503</v>
      </c>
      <c r="D136" s="930">
        <v>-3000</v>
      </c>
      <c r="E136">
        <v>0</v>
      </c>
      <c r="F136" s="930">
        <v>-3000</v>
      </c>
      <c r="G136" s="930"/>
      <c r="I136" s="929"/>
      <c r="J136" s="930"/>
      <c r="L136" s="930"/>
      <c r="M136" s="930"/>
      <c r="S136" s="930"/>
      <c r="U136" s="930"/>
    </row>
    <row r="137" spans="1:21" x14ac:dyDescent="0.2">
      <c r="A137">
        <v>1343514930</v>
      </c>
      <c r="B137" t="s">
        <v>1956</v>
      </c>
      <c r="C137">
        <v>0</v>
      </c>
      <c r="D137">
        <v>0</v>
      </c>
      <c r="E137">
        <v>0</v>
      </c>
      <c r="F137">
        <v>0</v>
      </c>
    </row>
    <row r="138" spans="1:21" x14ac:dyDescent="0.2">
      <c r="A138">
        <v>1343520930</v>
      </c>
      <c r="B138" t="s">
        <v>1957</v>
      </c>
      <c r="C138" s="929">
        <v>-118080</v>
      </c>
      <c r="D138" s="930">
        <v>-120351</v>
      </c>
      <c r="E138">
        <v>0</v>
      </c>
      <c r="F138" s="930">
        <v>-120351</v>
      </c>
      <c r="G138" s="930"/>
      <c r="I138" s="929"/>
      <c r="J138" s="930"/>
      <c r="L138" s="930"/>
      <c r="M138" s="930"/>
      <c r="S138" s="930"/>
      <c r="U138" s="930"/>
    </row>
    <row r="139" spans="1:21" x14ac:dyDescent="0.2">
      <c r="A139">
        <v>1343530930</v>
      </c>
      <c r="B139" t="s">
        <v>1956</v>
      </c>
      <c r="C139">
        <v>0</v>
      </c>
      <c r="D139">
        <v>0</v>
      </c>
      <c r="E139">
        <v>0</v>
      </c>
      <c r="F139">
        <v>0</v>
      </c>
    </row>
    <row r="140" spans="1:21" x14ac:dyDescent="0.2">
      <c r="A140">
        <v>1343540930</v>
      </c>
      <c r="B140" t="s">
        <v>1957</v>
      </c>
      <c r="C140">
        <v>0</v>
      </c>
      <c r="D140">
        <v>0</v>
      </c>
      <c r="E140">
        <v>0</v>
      </c>
      <c r="F140">
        <v>0</v>
      </c>
    </row>
    <row r="141" spans="1:21" x14ac:dyDescent="0.2">
      <c r="A141">
        <v>1343541930</v>
      </c>
      <c r="B141" t="s">
        <v>1265</v>
      </c>
      <c r="C141" s="929">
        <v>-59904</v>
      </c>
      <c r="D141" s="930">
        <v>-54144</v>
      </c>
      <c r="E141">
        <v>0</v>
      </c>
      <c r="F141" s="930">
        <v>-54144</v>
      </c>
      <c r="G141" s="930"/>
      <c r="I141" s="929"/>
      <c r="J141" s="930"/>
      <c r="L141" s="930"/>
      <c r="M141" s="930"/>
      <c r="S141" s="930"/>
      <c r="U141" s="930"/>
    </row>
    <row r="142" spans="1:21" x14ac:dyDescent="0.2">
      <c r="A142">
        <v>1343542930</v>
      </c>
      <c r="B142" t="s">
        <v>814</v>
      </c>
      <c r="C142">
        <v>-558</v>
      </c>
      <c r="D142">
        <v>0</v>
      </c>
      <c r="E142">
        <v>0</v>
      </c>
      <c r="F142">
        <v>0</v>
      </c>
    </row>
    <row r="143" spans="1:21" x14ac:dyDescent="0.2">
      <c r="A143">
        <v>1343550930</v>
      </c>
      <c r="B143" t="s">
        <v>1956</v>
      </c>
      <c r="C143">
        <v>0</v>
      </c>
      <c r="D143">
        <v>0</v>
      </c>
      <c r="E143">
        <v>0</v>
      </c>
      <c r="F143">
        <v>0</v>
      </c>
    </row>
    <row r="144" spans="1:21" x14ac:dyDescent="0.2">
      <c r="A144">
        <v>1343800930</v>
      </c>
      <c r="B144" t="s">
        <v>1958</v>
      </c>
      <c r="C144" s="929">
        <v>-163728</v>
      </c>
      <c r="D144">
        <v>0</v>
      </c>
      <c r="E144">
        <v>0</v>
      </c>
      <c r="F144">
        <v>0</v>
      </c>
      <c r="G144" s="930"/>
      <c r="I144" s="929"/>
      <c r="M144" s="930"/>
    </row>
    <row r="145" spans="1:21" x14ac:dyDescent="0.2">
      <c r="A145">
        <v>1343810930</v>
      </c>
      <c r="B145" t="s">
        <v>1266</v>
      </c>
      <c r="C145">
        <v>0</v>
      </c>
      <c r="D145" s="930">
        <v>-44280</v>
      </c>
      <c r="E145">
        <v>0</v>
      </c>
      <c r="F145" s="930">
        <v>-44280</v>
      </c>
      <c r="G145" s="930"/>
      <c r="J145" s="930"/>
      <c r="L145" s="930"/>
      <c r="M145" s="930"/>
      <c r="S145" s="930"/>
      <c r="U145" s="930"/>
    </row>
    <row r="146" spans="1:21" x14ac:dyDescent="0.2">
      <c r="A146">
        <v>1343817930</v>
      </c>
      <c r="B146" t="s">
        <v>818</v>
      </c>
      <c r="C146" s="929">
        <v>-116145</v>
      </c>
      <c r="D146" s="930">
        <v>-117575</v>
      </c>
      <c r="E146">
        <v>0</v>
      </c>
      <c r="F146" s="930">
        <v>-117575</v>
      </c>
      <c r="G146" s="930"/>
      <c r="I146" s="929"/>
      <c r="J146" s="930"/>
      <c r="L146" s="930"/>
      <c r="M146" s="930"/>
      <c r="S146" s="930"/>
      <c r="U146" s="930"/>
    </row>
    <row r="147" spans="1:21" x14ac:dyDescent="0.2">
      <c r="A147">
        <v>1343900930</v>
      </c>
      <c r="B147" t="s">
        <v>1267</v>
      </c>
      <c r="C147" s="929">
        <v>-363681</v>
      </c>
      <c r="D147" s="930">
        <v>-585501</v>
      </c>
      <c r="E147">
        <v>0</v>
      </c>
      <c r="F147" s="930">
        <v>-585501</v>
      </c>
      <c r="G147" s="930"/>
      <c r="I147" s="929"/>
      <c r="J147" s="930"/>
      <c r="L147" s="930"/>
      <c r="M147" s="930"/>
      <c r="S147" s="930"/>
      <c r="U147" s="930"/>
    </row>
    <row r="148" spans="1:21" x14ac:dyDescent="0.2">
      <c r="A148">
        <v>1343910930</v>
      </c>
      <c r="B148" t="s">
        <v>1959</v>
      </c>
      <c r="C148">
        <v>0</v>
      </c>
      <c r="D148">
        <v>0</v>
      </c>
      <c r="E148">
        <v>0</v>
      </c>
      <c r="F148">
        <v>0</v>
      </c>
    </row>
    <row r="149" spans="1:21" x14ac:dyDescent="0.2">
      <c r="A149">
        <v>1344300930</v>
      </c>
      <c r="B149" t="s">
        <v>1960</v>
      </c>
      <c r="C149">
        <v>0</v>
      </c>
      <c r="D149">
        <v>0</v>
      </c>
      <c r="E149">
        <v>0</v>
      </c>
      <c r="F149">
        <v>0</v>
      </c>
    </row>
    <row r="150" spans="1:21" x14ac:dyDescent="0.2">
      <c r="A150">
        <v>1344310930</v>
      </c>
      <c r="B150" t="s">
        <v>1961</v>
      </c>
      <c r="C150" s="929">
        <v>-62442</v>
      </c>
      <c r="D150" s="930">
        <v>-29164</v>
      </c>
      <c r="E150">
        <v>0</v>
      </c>
      <c r="F150" s="930">
        <v>-29164</v>
      </c>
      <c r="G150" s="930"/>
      <c r="I150" s="929"/>
      <c r="J150" s="930"/>
      <c r="L150" s="930"/>
      <c r="M150" s="930"/>
      <c r="S150" s="930"/>
      <c r="U150" s="930"/>
    </row>
    <row r="151" spans="1:21" x14ac:dyDescent="0.2">
      <c r="A151">
        <v>1344320930</v>
      </c>
      <c r="B151" t="s">
        <v>825</v>
      </c>
      <c r="C151" s="929">
        <v>-29988</v>
      </c>
      <c r="D151" s="930">
        <v>-10332</v>
      </c>
      <c r="E151">
        <v>0</v>
      </c>
      <c r="F151" s="930">
        <v>-10332</v>
      </c>
      <c r="G151" s="930"/>
      <c r="I151" s="929"/>
      <c r="J151" s="930"/>
      <c r="L151" s="930"/>
      <c r="M151" s="930"/>
      <c r="S151" s="930"/>
      <c r="U151" s="930"/>
    </row>
    <row r="152" spans="1:21" x14ac:dyDescent="0.2">
      <c r="A152">
        <v>1344400930</v>
      </c>
      <c r="B152" t="s">
        <v>1271</v>
      </c>
      <c r="C152" s="929">
        <v>-5247</v>
      </c>
      <c r="D152">
        <v>0</v>
      </c>
      <c r="E152">
        <v>0</v>
      </c>
      <c r="F152">
        <v>0</v>
      </c>
      <c r="G152" s="930"/>
      <c r="I152" s="929"/>
      <c r="M152" s="930"/>
    </row>
    <row r="153" spans="1:21" x14ac:dyDescent="0.2">
      <c r="A153">
        <v>1344410930</v>
      </c>
      <c r="B153" t="s">
        <v>1272</v>
      </c>
      <c r="C153" s="929">
        <v>-46485</v>
      </c>
      <c r="D153" s="930">
        <v>-50255</v>
      </c>
      <c r="E153">
        <v>0</v>
      </c>
      <c r="F153" s="930">
        <v>-50255</v>
      </c>
      <c r="G153" s="930"/>
      <c r="I153" s="929"/>
      <c r="J153" s="930"/>
      <c r="L153" s="930"/>
      <c r="M153" s="930"/>
      <c r="S153" s="930"/>
      <c r="U153" s="930"/>
    </row>
    <row r="154" spans="1:21" x14ac:dyDescent="0.2">
      <c r="A154">
        <v>1344430930</v>
      </c>
      <c r="B154" t="s">
        <v>1272</v>
      </c>
      <c r="C154">
        <v>0</v>
      </c>
      <c r="D154">
        <v>0</v>
      </c>
      <c r="E154">
        <v>0</v>
      </c>
      <c r="F154">
        <v>0</v>
      </c>
    </row>
    <row r="155" spans="1:21" x14ac:dyDescent="0.2">
      <c r="A155">
        <v>1344431930</v>
      </c>
      <c r="B155" t="s">
        <v>1962</v>
      </c>
      <c r="C155">
        <v>0</v>
      </c>
      <c r="D155">
        <v>0</v>
      </c>
      <c r="E155">
        <v>0</v>
      </c>
      <c r="F155">
        <v>0</v>
      </c>
    </row>
    <row r="156" spans="1:21" x14ac:dyDescent="0.2">
      <c r="A156">
        <v>1344440930</v>
      </c>
      <c r="B156" t="s">
        <v>1963</v>
      </c>
      <c r="C156" s="929">
        <v>-17622</v>
      </c>
      <c r="D156" s="930">
        <v>-7248</v>
      </c>
      <c r="E156">
        <v>0</v>
      </c>
      <c r="F156" s="930">
        <v>-7248</v>
      </c>
      <c r="G156" s="930"/>
      <c r="I156" s="929"/>
      <c r="J156" s="930"/>
      <c r="L156" s="930"/>
      <c r="M156" s="930"/>
      <c r="S156" s="930"/>
      <c r="U156" s="930"/>
    </row>
    <row r="157" spans="1:21" x14ac:dyDescent="0.2">
      <c r="A157">
        <v>1344450930</v>
      </c>
      <c r="B157" t="s">
        <v>1274</v>
      </c>
      <c r="C157" s="929">
        <v>-29988</v>
      </c>
      <c r="D157">
        <v>0</v>
      </c>
      <c r="E157">
        <v>0</v>
      </c>
      <c r="F157">
        <v>0</v>
      </c>
      <c r="G157" s="930"/>
      <c r="I157" s="929"/>
      <c r="M157" s="930"/>
    </row>
    <row r="158" spans="1:21" x14ac:dyDescent="0.2">
      <c r="A158">
        <v>1344490930</v>
      </c>
      <c r="B158" t="s">
        <v>1275</v>
      </c>
      <c r="C158" s="929">
        <v>-35982</v>
      </c>
      <c r="D158" s="930">
        <v>-10624</v>
      </c>
      <c r="E158">
        <v>0</v>
      </c>
      <c r="F158" s="930">
        <v>-10624</v>
      </c>
      <c r="G158" s="930"/>
      <c r="I158" s="929"/>
      <c r="J158" s="930"/>
      <c r="L158" s="930"/>
      <c r="M158" s="930"/>
      <c r="S158" s="930"/>
      <c r="U158" s="930"/>
    </row>
    <row r="159" spans="1:21" x14ac:dyDescent="0.2">
      <c r="A159">
        <v>1344500930</v>
      </c>
      <c r="B159" t="s">
        <v>1276</v>
      </c>
      <c r="C159">
        <v>0</v>
      </c>
      <c r="D159">
        <v>0</v>
      </c>
      <c r="E159">
        <v>0</v>
      </c>
      <c r="F159">
        <v>0</v>
      </c>
    </row>
    <row r="160" spans="1:21" x14ac:dyDescent="0.2">
      <c r="A160">
        <v>1344510930</v>
      </c>
      <c r="B160" t="s">
        <v>1964</v>
      </c>
      <c r="C160" s="929">
        <v>-86139</v>
      </c>
      <c r="D160" s="930">
        <v>-89460</v>
      </c>
      <c r="E160">
        <v>0</v>
      </c>
      <c r="F160" s="930">
        <v>-89460</v>
      </c>
      <c r="G160" s="930"/>
      <c r="I160" s="929"/>
      <c r="J160" s="930"/>
      <c r="L160" s="930"/>
      <c r="M160" s="930"/>
      <c r="S160" s="930"/>
      <c r="U160" s="930"/>
    </row>
    <row r="161" spans="1:21" x14ac:dyDescent="0.2">
      <c r="A161">
        <v>1344512930</v>
      </c>
      <c r="B161" t="s">
        <v>1277</v>
      </c>
      <c r="C161" s="929">
        <v>-103203</v>
      </c>
      <c r="D161" s="930">
        <v>-154999</v>
      </c>
      <c r="E161">
        <v>0</v>
      </c>
      <c r="F161" s="930">
        <v>-154999</v>
      </c>
      <c r="G161" s="930"/>
      <c r="I161" s="929"/>
      <c r="J161" s="930"/>
      <c r="L161" s="930"/>
      <c r="M161" s="930"/>
      <c r="S161" s="930"/>
      <c r="U161" s="930"/>
    </row>
    <row r="162" spans="1:21" x14ac:dyDescent="0.2">
      <c r="A162">
        <v>1344520930</v>
      </c>
      <c r="B162" t="s">
        <v>1277</v>
      </c>
      <c r="C162">
        <v>0</v>
      </c>
      <c r="D162">
        <v>0</v>
      </c>
      <c r="E162">
        <v>0</v>
      </c>
      <c r="F162">
        <v>0</v>
      </c>
    </row>
    <row r="163" spans="1:21" x14ac:dyDescent="0.2">
      <c r="A163">
        <v>1345100930</v>
      </c>
      <c r="B163" t="s">
        <v>1965</v>
      </c>
      <c r="C163">
        <v>0</v>
      </c>
      <c r="D163">
        <v>0</v>
      </c>
      <c r="E163">
        <v>0</v>
      </c>
      <c r="F163">
        <v>0</v>
      </c>
    </row>
    <row r="164" spans="1:21" x14ac:dyDescent="0.2">
      <c r="A164">
        <v>1345110930</v>
      </c>
      <c r="B164" t="s">
        <v>1966</v>
      </c>
      <c r="C164" s="929">
        <v>-540054</v>
      </c>
      <c r="D164" s="930">
        <v>-791991</v>
      </c>
      <c r="E164">
        <v>0</v>
      </c>
      <c r="F164" s="930">
        <v>-791991</v>
      </c>
      <c r="G164" s="930"/>
      <c r="I164" s="929"/>
      <c r="J164" s="930"/>
      <c r="L164" s="930"/>
      <c r="M164" s="930"/>
      <c r="S164" s="930"/>
      <c r="U164" s="930"/>
    </row>
    <row r="165" spans="1:21" x14ac:dyDescent="0.2">
      <c r="A165">
        <v>1345111930</v>
      </c>
      <c r="B165" t="s">
        <v>1967</v>
      </c>
      <c r="C165">
        <v>0</v>
      </c>
      <c r="D165" s="930">
        <v>-1670</v>
      </c>
      <c r="E165">
        <v>0</v>
      </c>
      <c r="F165" s="930">
        <v>-1670</v>
      </c>
      <c r="G165" s="930"/>
      <c r="J165" s="930"/>
      <c r="L165" s="930"/>
      <c r="M165" s="930"/>
      <c r="S165" s="930"/>
      <c r="U165" s="930"/>
    </row>
    <row r="166" spans="1:21" x14ac:dyDescent="0.2">
      <c r="A166">
        <v>1345120930</v>
      </c>
      <c r="B166" t="s">
        <v>1968</v>
      </c>
      <c r="C166" s="929">
        <v>-95994</v>
      </c>
      <c r="D166" s="930">
        <v>-89775</v>
      </c>
      <c r="E166">
        <v>0</v>
      </c>
      <c r="F166" s="930">
        <v>-89775</v>
      </c>
      <c r="G166" s="930"/>
      <c r="I166" s="929"/>
      <c r="J166" s="930"/>
      <c r="L166" s="930"/>
      <c r="M166" s="930"/>
      <c r="S166" s="930"/>
      <c r="U166" s="930"/>
    </row>
    <row r="167" spans="1:21" x14ac:dyDescent="0.2">
      <c r="A167">
        <v>1345130930</v>
      </c>
      <c r="B167" t="s">
        <v>1968</v>
      </c>
      <c r="C167">
        <v>0</v>
      </c>
      <c r="D167">
        <v>0</v>
      </c>
      <c r="E167">
        <v>0</v>
      </c>
      <c r="F167">
        <v>0</v>
      </c>
    </row>
    <row r="168" spans="1:21" x14ac:dyDescent="0.2">
      <c r="A168">
        <v>1345140930</v>
      </c>
      <c r="B168" t="s">
        <v>1969</v>
      </c>
      <c r="C168" s="929">
        <v>-28881</v>
      </c>
      <c r="D168" s="930">
        <v>-47246</v>
      </c>
      <c r="E168">
        <v>0</v>
      </c>
      <c r="F168" s="930">
        <v>-47246</v>
      </c>
      <c r="G168" s="930"/>
      <c r="I168" s="929"/>
      <c r="J168" s="930"/>
      <c r="L168" s="930"/>
      <c r="M168" s="930"/>
      <c r="S168" s="930"/>
      <c r="U168" s="930"/>
    </row>
    <row r="169" spans="1:21" x14ac:dyDescent="0.2">
      <c r="A169">
        <v>1345141930</v>
      </c>
      <c r="B169" t="s">
        <v>838</v>
      </c>
      <c r="C169" s="929">
        <v>-1125</v>
      </c>
      <c r="D169">
        <v>0</v>
      </c>
      <c r="E169">
        <v>0</v>
      </c>
      <c r="F169">
        <v>0</v>
      </c>
      <c r="G169" s="930"/>
      <c r="I169" s="929"/>
      <c r="M169" s="930"/>
    </row>
    <row r="170" spans="1:21" x14ac:dyDescent="0.2">
      <c r="A170">
        <v>1345143930</v>
      </c>
      <c r="B170" t="s">
        <v>1970</v>
      </c>
      <c r="C170">
        <v>0</v>
      </c>
      <c r="D170">
        <v>0</v>
      </c>
      <c r="E170">
        <v>0</v>
      </c>
      <c r="F170">
        <v>0</v>
      </c>
    </row>
    <row r="171" spans="1:21" x14ac:dyDescent="0.2">
      <c r="A171">
        <v>1345160930</v>
      </c>
      <c r="B171" t="s">
        <v>1968</v>
      </c>
      <c r="C171">
        <v>0</v>
      </c>
      <c r="D171">
        <v>0</v>
      </c>
      <c r="E171">
        <v>0</v>
      </c>
      <c r="F171">
        <v>0</v>
      </c>
    </row>
    <row r="172" spans="1:21" x14ac:dyDescent="0.2">
      <c r="A172">
        <v>1345200930</v>
      </c>
      <c r="B172" t="s">
        <v>1971</v>
      </c>
      <c r="C172">
        <v>0</v>
      </c>
      <c r="D172">
        <v>0</v>
      </c>
      <c r="E172">
        <v>0</v>
      </c>
      <c r="F172">
        <v>0</v>
      </c>
    </row>
    <row r="173" spans="1:21" x14ac:dyDescent="0.2">
      <c r="A173">
        <v>1345220930</v>
      </c>
      <c r="B173" t="s">
        <v>1972</v>
      </c>
      <c r="C173" s="929">
        <v>-174051</v>
      </c>
      <c r="D173" s="930">
        <v>-148497</v>
      </c>
      <c r="E173">
        <v>0</v>
      </c>
      <c r="F173" s="930">
        <v>-148497</v>
      </c>
      <c r="G173" s="930"/>
      <c r="I173" s="929"/>
      <c r="J173" s="930"/>
      <c r="L173" s="930"/>
      <c r="M173" s="930"/>
      <c r="S173" s="930"/>
      <c r="U173" s="930"/>
    </row>
    <row r="174" spans="1:21" x14ac:dyDescent="0.2">
      <c r="A174">
        <v>1345240930</v>
      </c>
      <c r="B174" t="s">
        <v>1973</v>
      </c>
      <c r="C174" s="929">
        <v>-135918</v>
      </c>
      <c r="D174" s="930">
        <v>-84771</v>
      </c>
      <c r="E174">
        <v>0</v>
      </c>
      <c r="F174" s="930">
        <v>-84771</v>
      </c>
      <c r="G174" s="930"/>
      <c r="I174" s="929"/>
      <c r="J174" s="930"/>
      <c r="L174" s="930"/>
      <c r="M174" s="930"/>
      <c r="S174" s="930"/>
      <c r="U174" s="930"/>
    </row>
    <row r="175" spans="1:21" x14ac:dyDescent="0.2">
      <c r="A175">
        <v>1345270930</v>
      </c>
      <c r="B175" t="s">
        <v>1974</v>
      </c>
      <c r="C175" s="929">
        <v>-104040</v>
      </c>
      <c r="D175" s="930">
        <v>-91675</v>
      </c>
      <c r="E175">
        <v>0</v>
      </c>
      <c r="F175" s="930">
        <v>-91675</v>
      </c>
      <c r="G175" s="930"/>
      <c r="I175" s="929"/>
      <c r="J175" s="930"/>
      <c r="L175" s="930"/>
      <c r="M175" s="930"/>
      <c r="S175" s="930"/>
      <c r="U175" s="930"/>
    </row>
    <row r="176" spans="1:21" x14ac:dyDescent="0.2">
      <c r="A176">
        <v>1345301930</v>
      </c>
      <c r="B176" t="s">
        <v>1975</v>
      </c>
      <c r="C176" s="929">
        <v>-116388</v>
      </c>
      <c r="D176" s="930">
        <v>-75498</v>
      </c>
      <c r="E176">
        <v>0</v>
      </c>
      <c r="F176" s="930">
        <v>-75498</v>
      </c>
      <c r="G176" s="930"/>
      <c r="I176" s="929"/>
      <c r="J176" s="930"/>
      <c r="L176" s="930"/>
      <c r="M176" s="930"/>
      <c r="S176" s="930"/>
      <c r="U176" s="930"/>
    </row>
    <row r="177" spans="1:21" x14ac:dyDescent="0.2">
      <c r="A177">
        <v>1345310930</v>
      </c>
      <c r="B177" t="s">
        <v>847</v>
      </c>
      <c r="C177" s="929">
        <v>-3060</v>
      </c>
      <c r="D177" s="930">
        <v>-3031</v>
      </c>
      <c r="E177">
        <v>0</v>
      </c>
      <c r="F177" s="930">
        <v>-3031</v>
      </c>
      <c r="I177" s="929"/>
      <c r="J177" s="930"/>
      <c r="L177" s="930"/>
      <c r="M177" s="930"/>
      <c r="S177" s="930"/>
      <c r="U177" s="930"/>
    </row>
    <row r="178" spans="1:21" x14ac:dyDescent="0.2">
      <c r="A178">
        <v>1345320930</v>
      </c>
      <c r="B178" t="s">
        <v>1976</v>
      </c>
      <c r="C178">
        <v>0</v>
      </c>
      <c r="D178">
        <v>0</v>
      </c>
      <c r="E178">
        <v>0</v>
      </c>
      <c r="F178">
        <v>0</v>
      </c>
    </row>
    <row r="179" spans="1:21" x14ac:dyDescent="0.2">
      <c r="A179">
        <v>1345330930</v>
      </c>
      <c r="B179" t="s">
        <v>1977</v>
      </c>
      <c r="C179">
        <v>-297</v>
      </c>
      <c r="D179">
        <v>0</v>
      </c>
      <c r="E179">
        <v>0</v>
      </c>
      <c r="F179">
        <v>0</v>
      </c>
    </row>
    <row r="180" spans="1:21" x14ac:dyDescent="0.2">
      <c r="A180">
        <v>1345331930</v>
      </c>
      <c r="B180" t="s">
        <v>1978</v>
      </c>
      <c r="C180">
        <v>0</v>
      </c>
      <c r="D180">
        <v>0</v>
      </c>
      <c r="E180">
        <v>0</v>
      </c>
      <c r="F180">
        <v>0</v>
      </c>
    </row>
    <row r="181" spans="1:21" x14ac:dyDescent="0.2">
      <c r="A181">
        <v>1346320930</v>
      </c>
      <c r="B181" t="s">
        <v>1979</v>
      </c>
      <c r="C181">
        <v>0</v>
      </c>
      <c r="D181">
        <v>0</v>
      </c>
      <c r="E181">
        <v>0</v>
      </c>
      <c r="F181">
        <v>0</v>
      </c>
    </row>
    <row r="182" spans="1:21" x14ac:dyDescent="0.2">
      <c r="A182">
        <v>1346330930</v>
      </c>
      <c r="B182" t="s">
        <v>1979</v>
      </c>
      <c r="C182">
        <v>0</v>
      </c>
      <c r="D182">
        <v>0</v>
      </c>
      <c r="E182">
        <v>0</v>
      </c>
      <c r="F182">
        <v>0</v>
      </c>
    </row>
    <row r="183" spans="1:21" x14ac:dyDescent="0.2">
      <c r="A183">
        <v>1346500930</v>
      </c>
      <c r="B183" t="s">
        <v>1980</v>
      </c>
      <c r="C183" s="929">
        <v>-104328</v>
      </c>
      <c r="D183" s="930">
        <v>-152293</v>
      </c>
      <c r="E183">
        <v>0</v>
      </c>
      <c r="F183" s="930">
        <v>-152293</v>
      </c>
      <c r="G183" s="930"/>
      <c r="I183" s="929"/>
      <c r="J183" s="930"/>
      <c r="L183" s="930"/>
      <c r="M183" s="930"/>
      <c r="S183" s="930"/>
      <c r="U183" s="930"/>
    </row>
    <row r="184" spans="1:21" x14ac:dyDescent="0.2">
      <c r="A184">
        <v>1346510930</v>
      </c>
      <c r="B184" t="s">
        <v>1981</v>
      </c>
      <c r="C184">
        <v>0</v>
      </c>
      <c r="D184">
        <v>0</v>
      </c>
      <c r="E184">
        <v>0</v>
      </c>
      <c r="F184">
        <v>0</v>
      </c>
    </row>
    <row r="185" spans="1:21" x14ac:dyDescent="0.2">
      <c r="A185">
        <v>1346540930</v>
      </c>
      <c r="B185" t="s">
        <v>1982</v>
      </c>
      <c r="C185">
        <v>0</v>
      </c>
      <c r="D185">
        <v>0</v>
      </c>
      <c r="E185">
        <v>0</v>
      </c>
      <c r="F185">
        <v>0</v>
      </c>
    </row>
    <row r="186" spans="1:21" x14ac:dyDescent="0.2">
      <c r="A186">
        <v>1346610930</v>
      </c>
      <c r="B186" t="s">
        <v>853</v>
      </c>
      <c r="C186" s="929">
        <v>-9261</v>
      </c>
      <c r="D186" s="930">
        <v>-8729</v>
      </c>
      <c r="E186">
        <v>0</v>
      </c>
      <c r="F186" s="930">
        <v>-8729</v>
      </c>
      <c r="I186" s="929"/>
      <c r="J186" s="930"/>
      <c r="L186" s="930"/>
      <c r="M186" s="930"/>
      <c r="S186" s="930"/>
      <c r="U186" s="930"/>
    </row>
    <row r="187" spans="1:21" x14ac:dyDescent="0.2">
      <c r="A187">
        <v>1346611930</v>
      </c>
      <c r="B187" t="s">
        <v>1291</v>
      </c>
      <c r="C187" s="929">
        <v>-2250</v>
      </c>
      <c r="D187" s="930">
        <v>-3520</v>
      </c>
      <c r="E187">
        <v>0</v>
      </c>
      <c r="F187" s="930">
        <v>-3520</v>
      </c>
      <c r="G187" s="930"/>
      <c r="I187" s="929"/>
      <c r="J187" s="930"/>
      <c r="L187" s="930"/>
      <c r="S187" s="930"/>
      <c r="U187" s="930"/>
    </row>
    <row r="188" spans="1:21" x14ac:dyDescent="0.2">
      <c r="A188">
        <v>1346612930</v>
      </c>
      <c r="B188" t="s">
        <v>1983</v>
      </c>
      <c r="C188" s="929">
        <v>-6930</v>
      </c>
      <c r="D188" s="930">
        <v>-6952</v>
      </c>
      <c r="E188">
        <v>0</v>
      </c>
      <c r="F188" s="930">
        <v>-6952</v>
      </c>
      <c r="I188" s="929"/>
      <c r="J188" s="930"/>
      <c r="L188" s="930"/>
      <c r="M188" s="930"/>
      <c r="S188" s="930"/>
      <c r="U188" s="930"/>
    </row>
    <row r="189" spans="1:21" x14ac:dyDescent="0.2">
      <c r="A189">
        <v>1346700930</v>
      </c>
      <c r="B189" t="s">
        <v>1292</v>
      </c>
      <c r="C189" s="929">
        <v>-25929</v>
      </c>
      <c r="D189" s="930">
        <v>-25833</v>
      </c>
      <c r="E189">
        <v>0</v>
      </c>
      <c r="F189" s="930">
        <v>-25833</v>
      </c>
      <c r="I189" s="929"/>
      <c r="J189" s="930"/>
      <c r="L189" s="930"/>
      <c r="M189" s="930"/>
      <c r="S189" s="930"/>
      <c r="U189" s="930"/>
    </row>
    <row r="190" spans="1:21" x14ac:dyDescent="0.2">
      <c r="A190">
        <v>1346705930</v>
      </c>
      <c r="B190" t="s">
        <v>856</v>
      </c>
      <c r="C190" s="929">
        <v>-55782</v>
      </c>
      <c r="D190">
        <v>0</v>
      </c>
      <c r="E190">
        <v>0</v>
      </c>
      <c r="F190">
        <v>0</v>
      </c>
      <c r="G190" s="930"/>
      <c r="I190" s="929"/>
      <c r="M190" s="930"/>
    </row>
    <row r="191" spans="1:21" x14ac:dyDescent="0.2">
      <c r="A191">
        <v>1346710930</v>
      </c>
      <c r="B191" t="s">
        <v>1292</v>
      </c>
      <c r="C191">
        <v>0</v>
      </c>
      <c r="D191">
        <v>0</v>
      </c>
      <c r="E191">
        <v>0</v>
      </c>
      <c r="F191">
        <v>0</v>
      </c>
    </row>
    <row r="192" spans="1:21" x14ac:dyDescent="0.2">
      <c r="A192">
        <v>1346713930</v>
      </c>
      <c r="B192" t="s">
        <v>856</v>
      </c>
      <c r="C192">
        <v>0</v>
      </c>
      <c r="D192">
        <v>0</v>
      </c>
      <c r="E192">
        <v>0</v>
      </c>
      <c r="F192">
        <v>0</v>
      </c>
    </row>
    <row r="193" spans="1:21" x14ac:dyDescent="0.2">
      <c r="A193">
        <v>1346714930</v>
      </c>
      <c r="B193" t="s">
        <v>857</v>
      </c>
      <c r="C193" s="929">
        <v>-5571</v>
      </c>
      <c r="D193">
        <v>0</v>
      </c>
      <c r="E193">
        <v>0</v>
      </c>
      <c r="F193">
        <v>0</v>
      </c>
      <c r="G193" s="930"/>
      <c r="I193" s="929"/>
      <c r="M193" s="930"/>
    </row>
    <row r="194" spans="1:21" x14ac:dyDescent="0.2">
      <c r="A194">
        <v>1346730930</v>
      </c>
      <c r="B194" t="s">
        <v>858</v>
      </c>
      <c r="C194" s="929">
        <v>-3753</v>
      </c>
      <c r="D194">
        <v>0</v>
      </c>
      <c r="E194">
        <v>0</v>
      </c>
      <c r="F194">
        <v>0</v>
      </c>
      <c r="G194" s="930"/>
      <c r="I194" s="929"/>
      <c r="M194" s="930"/>
    </row>
    <row r="195" spans="1:21" x14ac:dyDescent="0.2">
      <c r="A195">
        <v>1346740930</v>
      </c>
      <c r="B195" t="s">
        <v>858</v>
      </c>
      <c r="C195">
        <v>0</v>
      </c>
      <c r="D195">
        <v>0</v>
      </c>
      <c r="E195">
        <v>0</v>
      </c>
      <c r="F195">
        <v>0</v>
      </c>
    </row>
    <row r="196" spans="1:21" x14ac:dyDescent="0.2">
      <c r="A196">
        <v>1346750930</v>
      </c>
      <c r="B196" t="s">
        <v>1984</v>
      </c>
      <c r="C196">
        <v>0</v>
      </c>
      <c r="D196">
        <v>0</v>
      </c>
      <c r="E196">
        <v>0</v>
      </c>
      <c r="F196">
        <v>0</v>
      </c>
    </row>
    <row r="197" spans="1:21" x14ac:dyDescent="0.2">
      <c r="A197">
        <v>1346800930</v>
      </c>
      <c r="B197" t="s">
        <v>1985</v>
      </c>
      <c r="C197" s="929">
        <v>-3753</v>
      </c>
      <c r="D197" s="930">
        <v>-1925</v>
      </c>
      <c r="E197">
        <v>0</v>
      </c>
      <c r="F197" s="930">
        <v>-1925</v>
      </c>
      <c r="G197" s="930"/>
      <c r="I197" s="929"/>
      <c r="J197" s="930"/>
      <c r="L197" s="930"/>
      <c r="M197" s="930"/>
      <c r="S197" s="930"/>
      <c r="U197" s="930"/>
    </row>
    <row r="198" spans="1:21" x14ac:dyDescent="0.2">
      <c r="A198">
        <v>1346811930</v>
      </c>
      <c r="B198" t="s">
        <v>1986</v>
      </c>
      <c r="C198">
        <v>0</v>
      </c>
      <c r="D198">
        <v>0</v>
      </c>
      <c r="E198">
        <v>0</v>
      </c>
      <c r="F198">
        <v>0</v>
      </c>
    </row>
    <row r="199" spans="1:21" x14ac:dyDescent="0.2">
      <c r="A199">
        <v>1346820930</v>
      </c>
      <c r="B199" t="s">
        <v>1987</v>
      </c>
      <c r="C199">
        <v>0</v>
      </c>
      <c r="D199">
        <v>0</v>
      </c>
      <c r="E199">
        <v>0</v>
      </c>
      <c r="F199">
        <v>0</v>
      </c>
    </row>
    <row r="200" spans="1:21" x14ac:dyDescent="0.2">
      <c r="A200">
        <v>1346821930</v>
      </c>
      <c r="B200" t="s">
        <v>1988</v>
      </c>
      <c r="C200" s="929">
        <v>-9036</v>
      </c>
      <c r="D200" s="930">
        <v>-8049</v>
      </c>
      <c r="E200">
        <v>0</v>
      </c>
      <c r="F200" s="930">
        <v>-8049</v>
      </c>
      <c r="I200" s="929"/>
      <c r="J200" s="930"/>
      <c r="L200" s="930"/>
      <c r="M200" s="930"/>
      <c r="S200" s="930"/>
      <c r="U200" s="930"/>
    </row>
    <row r="201" spans="1:21" x14ac:dyDescent="0.2">
      <c r="A201">
        <v>1347100930</v>
      </c>
      <c r="B201" t="s">
        <v>1298</v>
      </c>
      <c r="C201" s="929">
        <v>-9126</v>
      </c>
      <c r="D201">
        <v>0</v>
      </c>
      <c r="E201">
        <v>0</v>
      </c>
      <c r="F201">
        <v>0</v>
      </c>
      <c r="G201" s="930"/>
      <c r="I201" s="929"/>
      <c r="M201" s="930"/>
    </row>
    <row r="202" spans="1:21" x14ac:dyDescent="0.2">
      <c r="A202">
        <v>1347120930</v>
      </c>
      <c r="B202" t="s">
        <v>863</v>
      </c>
      <c r="C202" s="929">
        <v>-3051</v>
      </c>
      <c r="D202">
        <v>0</v>
      </c>
      <c r="E202">
        <v>0</v>
      </c>
      <c r="F202">
        <v>0</v>
      </c>
      <c r="G202" s="930"/>
      <c r="I202" s="929"/>
      <c r="M202" s="930"/>
    </row>
    <row r="203" spans="1:21" x14ac:dyDescent="0.2">
      <c r="A203">
        <v>1347128930</v>
      </c>
      <c r="B203" t="s">
        <v>1989</v>
      </c>
      <c r="C203" s="929">
        <v>-41904</v>
      </c>
      <c r="D203" s="930">
        <v>-63137</v>
      </c>
      <c r="E203">
        <v>0</v>
      </c>
      <c r="F203" s="930">
        <v>-63137</v>
      </c>
      <c r="G203" s="930"/>
      <c r="I203" s="929"/>
      <c r="J203" s="930"/>
      <c r="L203" s="930"/>
      <c r="M203" s="930"/>
      <c r="S203" s="930"/>
      <c r="U203" s="930"/>
    </row>
    <row r="204" spans="1:21" x14ac:dyDescent="0.2">
      <c r="A204">
        <v>1347129930</v>
      </c>
      <c r="B204" t="s">
        <v>1990</v>
      </c>
      <c r="C204">
        <v>0</v>
      </c>
      <c r="D204">
        <v>0</v>
      </c>
      <c r="E204">
        <v>0</v>
      </c>
      <c r="F204">
        <v>0</v>
      </c>
    </row>
    <row r="205" spans="1:21" x14ac:dyDescent="0.2">
      <c r="A205">
        <v>1347130930</v>
      </c>
      <c r="B205" t="s">
        <v>1990</v>
      </c>
      <c r="C205">
        <v>-684</v>
      </c>
      <c r="D205" s="930">
        <v>-7313</v>
      </c>
      <c r="E205">
        <v>0</v>
      </c>
      <c r="F205" s="930">
        <v>-7313</v>
      </c>
      <c r="G205" s="930"/>
      <c r="J205" s="930"/>
      <c r="L205" s="930"/>
      <c r="M205" s="930"/>
      <c r="S205" s="930"/>
      <c r="U205" s="930"/>
    </row>
    <row r="206" spans="1:21" x14ac:dyDescent="0.2">
      <c r="A206">
        <v>1347305930</v>
      </c>
      <c r="B206" t="s">
        <v>1991</v>
      </c>
      <c r="C206">
        <v>0</v>
      </c>
      <c r="D206">
        <v>0</v>
      </c>
      <c r="E206">
        <v>0</v>
      </c>
      <c r="F206">
        <v>0</v>
      </c>
    </row>
    <row r="207" spans="1:21" x14ac:dyDescent="0.2">
      <c r="A207">
        <v>1347361930</v>
      </c>
      <c r="B207" t="s">
        <v>866</v>
      </c>
      <c r="C207" s="929">
        <v>-7497</v>
      </c>
      <c r="D207" s="930">
        <v>-6828</v>
      </c>
      <c r="E207">
        <v>0</v>
      </c>
      <c r="F207" s="930">
        <v>-6828</v>
      </c>
      <c r="I207" s="929"/>
      <c r="J207" s="930"/>
      <c r="L207" s="930"/>
      <c r="M207" s="930"/>
      <c r="S207" s="930"/>
      <c r="U207" s="930"/>
    </row>
    <row r="208" spans="1:21" x14ac:dyDescent="0.2">
      <c r="A208">
        <v>1347368930</v>
      </c>
      <c r="B208" t="s">
        <v>1992</v>
      </c>
      <c r="C208">
        <v>0</v>
      </c>
      <c r="D208">
        <v>0</v>
      </c>
      <c r="E208">
        <v>0</v>
      </c>
      <c r="F208">
        <v>0</v>
      </c>
    </row>
    <row r="209" spans="1:21" x14ac:dyDescent="0.2">
      <c r="A209">
        <v>1347411930</v>
      </c>
      <c r="B209" t="s">
        <v>1993</v>
      </c>
      <c r="C209">
        <v>0</v>
      </c>
      <c r="D209">
        <v>0</v>
      </c>
      <c r="E209">
        <v>0</v>
      </c>
      <c r="F209">
        <v>0</v>
      </c>
    </row>
    <row r="210" spans="1:21" x14ac:dyDescent="0.2">
      <c r="A210">
        <v>1347412930</v>
      </c>
      <c r="B210" t="s">
        <v>867</v>
      </c>
      <c r="C210" s="929">
        <v>-21159</v>
      </c>
      <c r="D210" s="930">
        <v>-7547</v>
      </c>
      <c r="E210">
        <v>0</v>
      </c>
      <c r="F210" s="930">
        <v>-7547</v>
      </c>
      <c r="G210" s="930"/>
      <c r="I210" s="929"/>
      <c r="J210" s="930"/>
      <c r="L210" s="930"/>
      <c r="M210" s="930"/>
      <c r="S210" s="930"/>
      <c r="U210" s="930"/>
    </row>
    <row r="211" spans="1:21" x14ac:dyDescent="0.2">
      <c r="A211">
        <v>1347440930</v>
      </c>
      <c r="B211" t="s">
        <v>1993</v>
      </c>
      <c r="C211">
        <v>0</v>
      </c>
      <c r="D211">
        <v>0</v>
      </c>
      <c r="E211">
        <v>0</v>
      </c>
      <c r="F211">
        <v>0</v>
      </c>
    </row>
    <row r="212" spans="1:21" x14ac:dyDescent="0.2">
      <c r="A212">
        <v>1348000930</v>
      </c>
      <c r="B212" t="s">
        <v>1994</v>
      </c>
      <c r="C212" s="929">
        <v>-259902</v>
      </c>
      <c r="D212" s="930">
        <v>-191887</v>
      </c>
      <c r="E212">
        <v>0</v>
      </c>
      <c r="F212" s="930">
        <v>-191887</v>
      </c>
      <c r="G212" s="930"/>
      <c r="I212" s="929"/>
      <c r="J212" s="930"/>
      <c r="L212" s="930"/>
      <c r="M212" s="930"/>
      <c r="S212" s="930"/>
      <c r="U212" s="930"/>
    </row>
    <row r="213" spans="1:21" x14ac:dyDescent="0.2">
      <c r="A213">
        <v>1348101930</v>
      </c>
      <c r="B213" t="s">
        <v>2796</v>
      </c>
      <c r="C213" s="929">
        <v>-29988</v>
      </c>
      <c r="D213">
        <v>0</v>
      </c>
      <c r="E213">
        <v>0</v>
      </c>
      <c r="F213">
        <v>0</v>
      </c>
      <c r="G213" s="930"/>
      <c r="I213" s="929"/>
      <c r="M213" s="930"/>
    </row>
    <row r="214" spans="1:21" x14ac:dyDescent="0.2">
      <c r="A214">
        <v>1348102930</v>
      </c>
      <c r="B214" t="s">
        <v>2797</v>
      </c>
      <c r="C214" s="929">
        <v>-5094</v>
      </c>
      <c r="D214">
        <v>0</v>
      </c>
      <c r="E214">
        <v>0</v>
      </c>
      <c r="F214">
        <v>0</v>
      </c>
      <c r="G214" s="930"/>
      <c r="I214" s="929"/>
      <c r="M214" s="930"/>
    </row>
    <row r="215" spans="1:21" x14ac:dyDescent="0.2">
      <c r="A215">
        <v>1348103930</v>
      </c>
      <c r="B215" t="s">
        <v>2798</v>
      </c>
      <c r="C215" s="929">
        <v>-8883</v>
      </c>
      <c r="D215">
        <v>0</v>
      </c>
      <c r="E215">
        <v>0</v>
      </c>
      <c r="F215">
        <v>0</v>
      </c>
      <c r="G215" s="930"/>
      <c r="I215" s="929"/>
      <c r="M215" s="930"/>
    </row>
    <row r="216" spans="1:21" x14ac:dyDescent="0.2">
      <c r="A216">
        <v>1348104930</v>
      </c>
      <c r="B216" t="s">
        <v>2799</v>
      </c>
      <c r="C216" s="929">
        <v>-9900</v>
      </c>
      <c r="D216">
        <v>0</v>
      </c>
      <c r="E216">
        <v>0</v>
      </c>
      <c r="F216">
        <v>0</v>
      </c>
      <c r="G216" s="930"/>
      <c r="I216" s="929"/>
      <c r="M216" s="930"/>
    </row>
    <row r="217" spans="1:21" x14ac:dyDescent="0.2">
      <c r="A217">
        <v>1348105930</v>
      </c>
      <c r="B217" t="s">
        <v>2800</v>
      </c>
      <c r="C217" s="929">
        <v>-29961</v>
      </c>
      <c r="D217">
        <v>0</v>
      </c>
      <c r="E217">
        <v>0</v>
      </c>
      <c r="F217">
        <v>0</v>
      </c>
      <c r="G217" s="930"/>
      <c r="I217" s="929"/>
      <c r="M217" s="930"/>
    </row>
    <row r="218" spans="1:21" x14ac:dyDescent="0.2">
      <c r="A218">
        <v>1348106930</v>
      </c>
      <c r="B218" t="s">
        <v>2801</v>
      </c>
      <c r="C218" s="929">
        <v>-14994</v>
      </c>
      <c r="D218">
        <v>0</v>
      </c>
      <c r="E218">
        <v>0</v>
      </c>
      <c r="F218">
        <v>0</v>
      </c>
      <c r="G218" s="930"/>
      <c r="I218" s="929"/>
      <c r="M218" s="930"/>
    </row>
    <row r="219" spans="1:21" x14ac:dyDescent="0.2">
      <c r="A219">
        <v>1348107930</v>
      </c>
      <c r="B219" t="s">
        <v>2802</v>
      </c>
      <c r="C219" s="929">
        <v>-40257</v>
      </c>
      <c r="D219">
        <v>0</v>
      </c>
      <c r="E219">
        <v>0</v>
      </c>
      <c r="F219">
        <v>0</v>
      </c>
      <c r="G219" s="930"/>
      <c r="I219" s="929"/>
      <c r="M219" s="930"/>
    </row>
    <row r="220" spans="1:21" x14ac:dyDescent="0.2">
      <c r="A220">
        <v>1348108930</v>
      </c>
      <c r="B220" t="s">
        <v>2803</v>
      </c>
      <c r="C220" s="929">
        <v>-9000</v>
      </c>
      <c r="D220">
        <v>0</v>
      </c>
      <c r="E220">
        <v>0</v>
      </c>
      <c r="F220">
        <v>0</v>
      </c>
      <c r="G220" s="930"/>
      <c r="I220" s="929"/>
      <c r="M220" s="930"/>
    </row>
    <row r="221" spans="1:21" x14ac:dyDescent="0.2">
      <c r="A221">
        <v>1348109930</v>
      </c>
      <c r="B221" t="s">
        <v>2804</v>
      </c>
      <c r="C221" s="929">
        <v>-8244</v>
      </c>
      <c r="D221">
        <v>0</v>
      </c>
      <c r="E221">
        <v>0</v>
      </c>
      <c r="F221">
        <v>0</v>
      </c>
      <c r="G221" s="930"/>
      <c r="I221" s="929"/>
      <c r="M221" s="930"/>
    </row>
    <row r="222" spans="1:21" x14ac:dyDescent="0.2">
      <c r="A222">
        <v>1349000840</v>
      </c>
      <c r="B222" t="s">
        <v>1995</v>
      </c>
      <c r="C222">
        <v>0</v>
      </c>
      <c r="D222">
        <v>0</v>
      </c>
      <c r="E222">
        <v>0</v>
      </c>
      <c r="F222">
        <v>0</v>
      </c>
    </row>
    <row r="223" spans="1:21" x14ac:dyDescent="0.2">
      <c r="A223">
        <v>1349047930</v>
      </c>
      <c r="B223" t="s">
        <v>1996</v>
      </c>
      <c r="C223">
        <v>0</v>
      </c>
      <c r="D223">
        <v>0</v>
      </c>
      <c r="E223">
        <v>0</v>
      </c>
      <c r="F223">
        <v>0</v>
      </c>
    </row>
    <row r="224" spans="1:21" x14ac:dyDescent="0.2">
      <c r="A224">
        <v>1350010889</v>
      </c>
      <c r="B224" t="s">
        <v>2006</v>
      </c>
      <c r="C224">
        <v>0</v>
      </c>
      <c r="D224">
        <v>0</v>
      </c>
      <c r="E224">
        <v>0</v>
      </c>
      <c r="F224">
        <v>0</v>
      </c>
    </row>
    <row r="225" spans="1:21" x14ac:dyDescent="0.2">
      <c r="A225">
        <v>1378000940</v>
      </c>
      <c r="B225" t="s">
        <v>2007</v>
      </c>
      <c r="C225" s="929">
        <v>-89964</v>
      </c>
      <c r="D225">
        <v>0</v>
      </c>
      <c r="E225">
        <v>0</v>
      </c>
      <c r="F225">
        <v>0</v>
      </c>
      <c r="G225" s="930"/>
      <c r="I225" s="929"/>
      <c r="M225" s="930"/>
    </row>
    <row r="226" spans="1:21" x14ac:dyDescent="0.2">
      <c r="A226">
        <v>1379000990</v>
      </c>
      <c r="B226" t="s">
        <v>2008</v>
      </c>
      <c r="C226">
        <v>0</v>
      </c>
      <c r="D226" s="930">
        <v>-20007</v>
      </c>
      <c r="E226">
        <v>0</v>
      </c>
      <c r="F226" s="930">
        <v>-20007</v>
      </c>
      <c r="G226" s="930"/>
      <c r="J226" s="930"/>
      <c r="L226" s="930"/>
      <c r="M226" s="930"/>
      <c r="S226" s="930"/>
      <c r="U226" s="930"/>
    </row>
    <row r="227" spans="1:21" x14ac:dyDescent="0.2">
      <c r="A227">
        <v>1413100210</v>
      </c>
      <c r="B227" t="s">
        <v>1864</v>
      </c>
      <c r="C227" s="929">
        <v>-2561724</v>
      </c>
      <c r="D227" s="930">
        <v>-2092957</v>
      </c>
      <c r="E227">
        <v>0</v>
      </c>
      <c r="F227" s="930">
        <v>-2092957</v>
      </c>
      <c r="G227" s="930"/>
      <c r="I227" s="929"/>
      <c r="J227" s="930"/>
      <c r="L227" s="930"/>
      <c r="M227" s="930"/>
      <c r="S227" s="930"/>
      <c r="U227" s="930"/>
    </row>
    <row r="228" spans="1:21" x14ac:dyDescent="0.2">
      <c r="A228">
        <v>1413101210</v>
      </c>
      <c r="B228" t="s">
        <v>1888</v>
      </c>
      <c r="C228" s="929">
        <v>-1503</v>
      </c>
      <c r="D228" s="930">
        <v>-1866.97</v>
      </c>
      <c r="E228">
        <v>0</v>
      </c>
      <c r="F228" s="930">
        <v>-1866.97</v>
      </c>
      <c r="I228" s="929"/>
      <c r="J228" s="930"/>
      <c r="L228" s="930"/>
      <c r="S228" s="930"/>
      <c r="U228" s="930"/>
    </row>
    <row r="229" spans="1:21" x14ac:dyDescent="0.2">
      <c r="A229">
        <v>1413110210</v>
      </c>
      <c r="B229" t="s">
        <v>1865</v>
      </c>
      <c r="C229">
        <v>0</v>
      </c>
      <c r="D229">
        <v>0</v>
      </c>
      <c r="E229">
        <v>0</v>
      </c>
      <c r="F229">
        <v>0</v>
      </c>
    </row>
    <row r="230" spans="1:21" x14ac:dyDescent="0.2">
      <c r="A230">
        <v>1413200210</v>
      </c>
      <c r="B230" t="s">
        <v>1311</v>
      </c>
      <c r="C230" s="929">
        <v>-1328472</v>
      </c>
      <c r="D230" s="930">
        <v>-1259181</v>
      </c>
      <c r="E230">
        <v>0</v>
      </c>
      <c r="F230" s="930">
        <v>-1259181</v>
      </c>
      <c r="G230" s="930"/>
      <c r="I230" s="929"/>
      <c r="J230" s="930"/>
      <c r="L230" s="930"/>
      <c r="M230" s="930"/>
      <c r="S230" s="930"/>
      <c r="U230" s="930"/>
    </row>
    <row r="231" spans="1:21" x14ac:dyDescent="0.2">
      <c r="A231">
        <v>1413300810</v>
      </c>
      <c r="B231" t="s">
        <v>1889</v>
      </c>
      <c r="C231" s="929">
        <v>-316377</v>
      </c>
      <c r="D231" s="930">
        <v>-138220.17000000001</v>
      </c>
      <c r="E231">
        <v>0</v>
      </c>
      <c r="F231" s="930">
        <v>-138220.17000000001</v>
      </c>
      <c r="G231" s="930"/>
      <c r="I231" s="929"/>
      <c r="J231" s="930"/>
      <c r="L231" s="930"/>
      <c r="M231" s="930"/>
      <c r="S231" s="930"/>
      <c r="U231" s="930"/>
    </row>
    <row r="232" spans="1:21" x14ac:dyDescent="0.2">
      <c r="A232">
        <v>1413400810</v>
      </c>
      <c r="B232" t="s">
        <v>1890</v>
      </c>
      <c r="C232" s="929">
        <v>-26244</v>
      </c>
      <c r="D232" s="930">
        <v>-33175</v>
      </c>
      <c r="E232">
        <v>0</v>
      </c>
      <c r="F232" s="930">
        <v>-33175</v>
      </c>
      <c r="G232" s="930"/>
      <c r="I232" s="929"/>
      <c r="J232" s="930"/>
      <c r="L232" s="930"/>
      <c r="M232" s="930"/>
      <c r="S232" s="930"/>
      <c r="U232" s="930"/>
    </row>
    <row r="233" spans="1:21" x14ac:dyDescent="0.2">
      <c r="A233">
        <v>1472000210</v>
      </c>
      <c r="B233" t="s">
        <v>1891</v>
      </c>
      <c r="C233" s="929">
        <v>-3753</v>
      </c>
      <c r="D233" s="930">
        <v>-66836.350000000006</v>
      </c>
      <c r="E233">
        <v>0</v>
      </c>
      <c r="F233" s="930">
        <v>-66836.350000000006</v>
      </c>
      <c r="G233" s="930"/>
      <c r="I233" s="929"/>
      <c r="J233" s="930"/>
      <c r="L233" s="930"/>
      <c r="M233" s="930"/>
      <c r="N233" s="930"/>
      <c r="S233" s="930"/>
      <c r="U233" s="930"/>
    </row>
    <row r="234" spans="1:21" x14ac:dyDescent="0.2">
      <c r="A234">
        <v>1472000220</v>
      </c>
      <c r="B234" t="s">
        <v>1892</v>
      </c>
      <c r="C234" s="929">
        <v>-18747</v>
      </c>
      <c r="D234" s="930">
        <v>-10570.48</v>
      </c>
      <c r="E234">
        <v>0</v>
      </c>
      <c r="F234" s="930">
        <v>-10570.48</v>
      </c>
      <c r="G234" s="930"/>
      <c r="I234" s="929"/>
      <c r="J234" s="930"/>
      <c r="L234" s="930"/>
      <c r="M234" s="930"/>
      <c r="S234" s="930"/>
      <c r="U234" s="930"/>
    </row>
    <row r="235" spans="1:21" x14ac:dyDescent="0.2">
      <c r="A235">
        <v>1472000310</v>
      </c>
      <c r="B235" t="s">
        <v>1316</v>
      </c>
      <c r="C235" s="929">
        <v>-46044</v>
      </c>
      <c r="D235" s="930">
        <v>-34841.83</v>
      </c>
      <c r="E235">
        <v>0</v>
      </c>
      <c r="F235" s="930">
        <v>-34841.83</v>
      </c>
      <c r="G235" s="930"/>
      <c r="I235" s="929"/>
      <c r="J235" s="930"/>
      <c r="L235" s="930"/>
      <c r="M235" s="930"/>
      <c r="S235" s="930"/>
      <c r="U235" s="930"/>
    </row>
    <row r="236" spans="1:21" x14ac:dyDescent="0.2">
      <c r="A236">
        <v>1511000900</v>
      </c>
      <c r="B236" t="s">
        <v>1893</v>
      </c>
      <c r="C236">
        <v>0</v>
      </c>
      <c r="D236">
        <v>0</v>
      </c>
      <c r="E236">
        <v>0</v>
      </c>
      <c r="F236">
        <v>0</v>
      </c>
    </row>
    <row r="237" spans="1:21" x14ac:dyDescent="0.2">
      <c r="A237">
        <v>1512513920</v>
      </c>
      <c r="B237" t="s">
        <v>2009</v>
      </c>
      <c r="C237">
        <v>0</v>
      </c>
      <c r="D237">
        <v>0</v>
      </c>
      <c r="E237">
        <v>0</v>
      </c>
      <c r="F237">
        <v>0</v>
      </c>
    </row>
    <row r="238" spans="1:21" x14ac:dyDescent="0.2">
      <c r="A238">
        <v>1513000690</v>
      </c>
      <c r="B238" t="s">
        <v>2022</v>
      </c>
      <c r="C238" s="929">
        <v>-74970</v>
      </c>
      <c r="D238">
        <v>0</v>
      </c>
      <c r="E238">
        <v>0</v>
      </c>
      <c r="F238">
        <v>0</v>
      </c>
      <c r="G238" s="930"/>
      <c r="I238" s="929"/>
      <c r="M238" s="930"/>
    </row>
    <row r="239" spans="1:21" x14ac:dyDescent="0.2">
      <c r="A239">
        <v>1513100900</v>
      </c>
      <c r="B239" t="s">
        <v>1320</v>
      </c>
      <c r="C239">
        <v>0</v>
      </c>
      <c r="D239" s="930">
        <v>-226136</v>
      </c>
      <c r="E239">
        <v>0</v>
      </c>
      <c r="F239" s="930">
        <v>-226136</v>
      </c>
      <c r="G239" s="930"/>
      <c r="J239" s="930"/>
      <c r="L239" s="930"/>
      <c r="M239" s="930"/>
      <c r="S239" s="930"/>
      <c r="U239" s="930"/>
    </row>
    <row r="240" spans="1:21" x14ac:dyDescent="0.2">
      <c r="A240">
        <v>1590000899</v>
      </c>
      <c r="B240" t="s">
        <v>2018</v>
      </c>
      <c r="C240" s="929">
        <v>-224910</v>
      </c>
      <c r="D240" s="930">
        <v>-289230</v>
      </c>
      <c r="E240">
        <v>0</v>
      </c>
      <c r="F240" s="930">
        <v>-289230</v>
      </c>
      <c r="G240" s="930"/>
      <c r="I240" s="929"/>
      <c r="J240" s="930"/>
      <c r="L240" s="930"/>
      <c r="M240" s="930"/>
      <c r="S240" s="930"/>
      <c r="U240" s="930"/>
    </row>
    <row r="241" spans="1:21" x14ac:dyDescent="0.2">
      <c r="A241">
        <v>1591000910</v>
      </c>
      <c r="B241" t="s">
        <v>1321</v>
      </c>
      <c r="C241">
        <v>0</v>
      </c>
      <c r="D241">
        <v>0</v>
      </c>
      <c r="E241">
        <v>0</v>
      </c>
      <c r="F241">
        <v>0</v>
      </c>
    </row>
    <row r="242" spans="1:21" x14ac:dyDescent="0.2">
      <c r="A242">
        <v>1599300900</v>
      </c>
      <c r="B242" t="s">
        <v>1322</v>
      </c>
      <c r="C242">
        <v>0</v>
      </c>
      <c r="D242">
        <v>0</v>
      </c>
      <c r="E242">
        <v>0</v>
      </c>
      <c r="F242">
        <v>0</v>
      </c>
    </row>
    <row r="243" spans="1:21" x14ac:dyDescent="0.2">
      <c r="A243">
        <v>1611000470</v>
      </c>
      <c r="B243" t="s">
        <v>2805</v>
      </c>
      <c r="C243" s="929">
        <v>14994</v>
      </c>
      <c r="D243">
        <v>410</v>
      </c>
      <c r="E243">
        <v>0</v>
      </c>
      <c r="F243">
        <v>410</v>
      </c>
      <c r="G243" s="930"/>
      <c r="I243" s="929"/>
      <c r="M243" s="930"/>
    </row>
    <row r="244" spans="1:21" x14ac:dyDescent="0.2">
      <c r="A244">
        <v>1611000522</v>
      </c>
      <c r="B244" t="s">
        <v>2806</v>
      </c>
      <c r="C244" s="929">
        <v>5319</v>
      </c>
      <c r="D244" s="930">
        <v>5220</v>
      </c>
      <c r="E244">
        <v>0</v>
      </c>
      <c r="F244" s="930">
        <v>5220</v>
      </c>
      <c r="I244" s="929"/>
      <c r="J244" s="930"/>
      <c r="L244" s="930"/>
      <c r="M244" s="930"/>
      <c r="S244" s="930"/>
      <c r="U244" s="930"/>
    </row>
    <row r="245" spans="1:21" x14ac:dyDescent="0.2">
      <c r="A245">
        <v>1611000530</v>
      </c>
      <c r="B245" t="s">
        <v>2807</v>
      </c>
      <c r="C245">
        <v>0</v>
      </c>
      <c r="D245">
        <v>0</v>
      </c>
      <c r="E245">
        <v>0</v>
      </c>
      <c r="F245">
        <v>0</v>
      </c>
    </row>
    <row r="246" spans="1:21" x14ac:dyDescent="0.2">
      <c r="A246">
        <v>1611000550</v>
      </c>
      <c r="B246" t="s">
        <v>2808</v>
      </c>
      <c r="C246" s="929">
        <v>67000</v>
      </c>
      <c r="D246" s="930">
        <v>51762.6</v>
      </c>
      <c r="E246" s="930">
        <v>8080.5</v>
      </c>
      <c r="F246" s="930">
        <v>59843.1</v>
      </c>
      <c r="G246" s="930"/>
      <c r="I246" s="929"/>
      <c r="J246" s="930"/>
      <c r="K246" s="930"/>
      <c r="L246" s="930"/>
      <c r="M246" s="930"/>
      <c r="S246" s="930"/>
      <c r="U246" s="930"/>
    </row>
    <row r="247" spans="1:21" x14ac:dyDescent="0.2">
      <c r="A247">
        <v>1611000560</v>
      </c>
      <c r="B247" t="s">
        <v>2809</v>
      </c>
      <c r="C247" s="929">
        <v>14994</v>
      </c>
      <c r="D247" s="930">
        <v>9017.2000000000007</v>
      </c>
      <c r="E247" s="930">
        <v>1802.2</v>
      </c>
      <c r="F247" s="930">
        <v>10819.4</v>
      </c>
      <c r="G247" s="930"/>
      <c r="I247" s="929"/>
      <c r="J247" s="930"/>
      <c r="K247" s="930"/>
      <c r="L247" s="930"/>
      <c r="M247" s="930"/>
      <c r="S247" s="930"/>
      <c r="U247" s="930"/>
    </row>
    <row r="248" spans="1:21" x14ac:dyDescent="0.2">
      <c r="A248">
        <v>1611000720</v>
      </c>
      <c r="B248" t="s">
        <v>2810</v>
      </c>
      <c r="C248" s="929">
        <v>3753</v>
      </c>
      <c r="D248">
        <v>0</v>
      </c>
      <c r="E248">
        <v>0</v>
      </c>
      <c r="F248">
        <v>0</v>
      </c>
      <c r="G248" s="930"/>
      <c r="I248" s="929"/>
      <c r="M248" s="930"/>
    </row>
    <row r="249" spans="1:21" x14ac:dyDescent="0.2">
      <c r="A249">
        <v>1611000780</v>
      </c>
      <c r="B249" t="s">
        <v>2811</v>
      </c>
      <c r="C249" s="929">
        <v>14994</v>
      </c>
      <c r="D249" s="930">
        <v>5579.3</v>
      </c>
      <c r="E249">
        <v>0</v>
      </c>
      <c r="F249" s="930">
        <v>5579.3</v>
      </c>
      <c r="G249" s="930"/>
      <c r="I249" s="929"/>
      <c r="J249" s="930"/>
      <c r="L249" s="930"/>
      <c r="M249" s="930"/>
      <c r="S249" s="930"/>
      <c r="U249" s="930"/>
    </row>
    <row r="250" spans="1:21" x14ac:dyDescent="0.2">
      <c r="A250">
        <v>1611000850</v>
      </c>
      <c r="B250" t="s">
        <v>2812</v>
      </c>
      <c r="C250" s="929">
        <v>116208</v>
      </c>
      <c r="D250" s="930">
        <v>14883</v>
      </c>
      <c r="E250">
        <v>0</v>
      </c>
      <c r="F250" s="930">
        <v>14883</v>
      </c>
      <c r="G250" s="930"/>
      <c r="I250" s="929"/>
      <c r="J250" s="930"/>
      <c r="L250" s="930"/>
      <c r="M250" s="930"/>
      <c r="S250" s="930"/>
      <c r="U250" s="930"/>
    </row>
    <row r="251" spans="1:21" x14ac:dyDescent="0.2">
      <c r="A251">
        <v>1611100110</v>
      </c>
      <c r="B251" t="s">
        <v>2813</v>
      </c>
      <c r="C251" s="929">
        <v>577269</v>
      </c>
      <c r="D251" s="930">
        <v>499012.14</v>
      </c>
      <c r="E251">
        <v>0</v>
      </c>
      <c r="F251" s="930">
        <v>499012.14</v>
      </c>
      <c r="G251" s="930"/>
      <c r="I251" s="929"/>
      <c r="J251" s="930"/>
      <c r="L251" s="930"/>
      <c r="M251" s="930"/>
      <c r="S251" s="930"/>
      <c r="U251" s="930"/>
    </row>
    <row r="252" spans="1:21" x14ac:dyDescent="0.2">
      <c r="A252">
        <v>1611100510</v>
      </c>
      <c r="B252" t="s">
        <v>2814</v>
      </c>
      <c r="C252" s="929">
        <v>4000</v>
      </c>
      <c r="D252">
        <v>600</v>
      </c>
      <c r="E252" s="930">
        <v>3000</v>
      </c>
      <c r="F252" s="930">
        <v>3600</v>
      </c>
      <c r="I252" s="929"/>
      <c r="K252" s="930"/>
      <c r="L252" s="930"/>
      <c r="S252" s="930"/>
      <c r="U252" s="930"/>
    </row>
    <row r="253" spans="1:21" x14ac:dyDescent="0.2">
      <c r="A253">
        <v>1611100523</v>
      </c>
      <c r="B253" t="s">
        <v>2815</v>
      </c>
      <c r="C253" s="929">
        <v>41238</v>
      </c>
      <c r="D253" s="930">
        <v>20662.5</v>
      </c>
      <c r="E253">
        <v>0</v>
      </c>
      <c r="F253" s="930">
        <v>20662.5</v>
      </c>
      <c r="G253" s="930"/>
      <c r="I253" s="929"/>
      <c r="J253" s="930"/>
      <c r="L253" s="930"/>
      <c r="M253" s="930"/>
      <c r="S253" s="930"/>
      <c r="U253" s="930"/>
    </row>
    <row r="254" spans="1:21" x14ac:dyDescent="0.2">
      <c r="A254">
        <v>1611100540</v>
      </c>
      <c r="B254" t="s">
        <v>2816</v>
      </c>
      <c r="C254">
        <v>0</v>
      </c>
      <c r="D254">
        <v>0</v>
      </c>
      <c r="E254">
        <v>0</v>
      </c>
      <c r="F254">
        <v>0</v>
      </c>
    </row>
    <row r="255" spans="1:21" x14ac:dyDescent="0.2">
      <c r="A255">
        <v>1611100541</v>
      </c>
      <c r="B255" t="s">
        <v>2817</v>
      </c>
      <c r="C255" s="929">
        <v>59976</v>
      </c>
      <c r="D255" s="930">
        <v>52152.54</v>
      </c>
      <c r="E255">
        <v>0</v>
      </c>
      <c r="F255" s="930">
        <v>52152.54</v>
      </c>
      <c r="G255" s="930"/>
      <c r="I255" s="929"/>
      <c r="J255" s="930"/>
      <c r="L255" s="930"/>
      <c r="M255" s="930"/>
      <c r="S255" s="930"/>
      <c r="U255" s="930"/>
    </row>
    <row r="256" spans="1:21" x14ac:dyDescent="0.2">
      <c r="A256">
        <v>1611100735</v>
      </c>
      <c r="B256" t="s">
        <v>2818</v>
      </c>
      <c r="C256">
        <v>0</v>
      </c>
      <c r="D256">
        <v>0</v>
      </c>
      <c r="E256">
        <v>0</v>
      </c>
      <c r="F256">
        <v>0</v>
      </c>
    </row>
    <row r="257" spans="1:21" x14ac:dyDescent="0.2">
      <c r="A257">
        <v>1611200110</v>
      </c>
      <c r="B257" t="s">
        <v>2819</v>
      </c>
      <c r="C257" s="929">
        <v>110205</v>
      </c>
      <c r="D257" s="930">
        <v>101947.3</v>
      </c>
      <c r="E257">
        <v>0</v>
      </c>
      <c r="F257" s="930">
        <v>101947.3</v>
      </c>
      <c r="G257" s="930"/>
      <c r="I257" s="929"/>
      <c r="J257" s="930"/>
      <c r="L257" s="930"/>
      <c r="M257" s="930"/>
      <c r="S257" s="930"/>
      <c r="U257" s="930"/>
    </row>
    <row r="258" spans="1:21" x14ac:dyDescent="0.2">
      <c r="A258">
        <v>1611200391</v>
      </c>
      <c r="B258" t="s">
        <v>2820</v>
      </c>
      <c r="C258" s="929">
        <v>65061</v>
      </c>
      <c r="D258" s="930">
        <v>31039</v>
      </c>
      <c r="E258">
        <v>0</v>
      </c>
      <c r="F258" s="930">
        <v>31039</v>
      </c>
      <c r="G258" s="930"/>
      <c r="I258" s="929"/>
      <c r="J258" s="930"/>
      <c r="L258" s="930"/>
      <c r="M258" s="930"/>
      <c r="S258" s="930"/>
      <c r="U258" s="930"/>
    </row>
    <row r="259" spans="1:21" x14ac:dyDescent="0.2">
      <c r="A259">
        <v>1612000110</v>
      </c>
      <c r="B259" t="s">
        <v>2821</v>
      </c>
      <c r="C259" s="929">
        <v>216792</v>
      </c>
      <c r="D259" s="930">
        <v>149303.46</v>
      </c>
      <c r="E259">
        <v>0</v>
      </c>
      <c r="F259" s="930">
        <v>149303.46</v>
      </c>
      <c r="G259" s="930"/>
      <c r="I259" s="929"/>
      <c r="J259" s="930"/>
      <c r="L259" s="930"/>
      <c r="M259" s="930"/>
      <c r="S259" s="930"/>
      <c r="U259" s="930"/>
    </row>
    <row r="260" spans="1:21" x14ac:dyDescent="0.2">
      <c r="A260">
        <v>1612000780</v>
      </c>
      <c r="B260" t="s">
        <v>2822</v>
      </c>
      <c r="C260" s="929">
        <v>1503</v>
      </c>
      <c r="D260">
        <v>0</v>
      </c>
      <c r="E260">
        <v>0</v>
      </c>
      <c r="F260">
        <v>0</v>
      </c>
      <c r="G260" s="930"/>
      <c r="I260" s="929"/>
      <c r="M260" s="930"/>
    </row>
    <row r="261" spans="1:21" x14ac:dyDescent="0.2">
      <c r="A261">
        <v>1613000110</v>
      </c>
      <c r="B261" t="s">
        <v>2823</v>
      </c>
      <c r="C261" s="929">
        <v>374598</v>
      </c>
      <c r="D261" s="930">
        <v>316761.21000000002</v>
      </c>
      <c r="E261">
        <v>0</v>
      </c>
      <c r="F261" s="930">
        <v>316761.21000000002</v>
      </c>
      <c r="G261" s="930"/>
      <c r="I261" s="929"/>
      <c r="J261" s="930"/>
      <c r="L261" s="930"/>
      <c r="M261" s="930"/>
      <c r="S261" s="930"/>
      <c r="U261" s="930"/>
    </row>
    <row r="262" spans="1:21" x14ac:dyDescent="0.2">
      <c r="A262">
        <v>1613000420</v>
      </c>
      <c r="B262" t="s">
        <v>565</v>
      </c>
      <c r="C262">
        <v>0</v>
      </c>
      <c r="D262">
        <v>0</v>
      </c>
      <c r="E262">
        <v>0</v>
      </c>
      <c r="F262">
        <v>0</v>
      </c>
    </row>
    <row r="263" spans="1:21" x14ac:dyDescent="0.2">
      <c r="A263">
        <v>1613000430</v>
      </c>
      <c r="B263" t="s">
        <v>2824</v>
      </c>
      <c r="C263">
        <v>0</v>
      </c>
      <c r="D263">
        <v>0</v>
      </c>
      <c r="E263">
        <v>0</v>
      </c>
      <c r="F263">
        <v>0</v>
      </c>
    </row>
    <row r="264" spans="1:21" x14ac:dyDescent="0.2">
      <c r="A264">
        <v>1613000431</v>
      </c>
      <c r="B264" t="s">
        <v>2825</v>
      </c>
      <c r="C264" s="929">
        <v>56232</v>
      </c>
      <c r="D264" s="930">
        <v>56270.12</v>
      </c>
      <c r="E264">
        <v>0</v>
      </c>
      <c r="F264" s="930">
        <v>56270.12</v>
      </c>
      <c r="I264" s="929"/>
      <c r="J264" s="930"/>
      <c r="L264" s="930"/>
      <c r="M264" s="930"/>
      <c r="S264" s="930"/>
      <c r="U264" s="930"/>
    </row>
    <row r="265" spans="1:21" x14ac:dyDescent="0.2">
      <c r="A265">
        <v>1613000432</v>
      </c>
      <c r="B265" t="s">
        <v>2826</v>
      </c>
      <c r="C265" s="929">
        <v>26244</v>
      </c>
      <c r="D265" s="930">
        <v>4347.3999999999996</v>
      </c>
      <c r="E265">
        <v>0</v>
      </c>
      <c r="F265" s="930">
        <v>4347.3999999999996</v>
      </c>
      <c r="G265" s="930"/>
      <c r="I265" s="929"/>
      <c r="J265" s="930"/>
      <c r="L265" s="930"/>
      <c r="M265" s="930"/>
      <c r="S265" s="930"/>
      <c r="U265" s="930"/>
    </row>
    <row r="266" spans="1:21" x14ac:dyDescent="0.2">
      <c r="A266">
        <v>1613000470</v>
      </c>
      <c r="B266" t="s">
        <v>2827</v>
      </c>
      <c r="C266" s="929">
        <v>20988</v>
      </c>
      <c r="D266" s="930">
        <v>14811.22</v>
      </c>
      <c r="E266">
        <v>0</v>
      </c>
      <c r="F266" s="930">
        <v>14811.22</v>
      </c>
      <c r="G266" s="930"/>
      <c r="I266" s="929"/>
      <c r="J266" s="930"/>
      <c r="L266" s="930"/>
      <c r="M266" s="930"/>
      <c r="S266" s="930"/>
      <c r="U266" s="930"/>
    </row>
    <row r="267" spans="1:21" x14ac:dyDescent="0.2">
      <c r="A267">
        <v>1613000480</v>
      </c>
      <c r="B267" t="s">
        <v>2828</v>
      </c>
      <c r="C267" s="929">
        <v>89964</v>
      </c>
      <c r="D267" s="930">
        <v>106429</v>
      </c>
      <c r="E267">
        <v>0</v>
      </c>
      <c r="F267" s="930">
        <v>106429</v>
      </c>
      <c r="G267" s="930"/>
      <c r="I267" s="929"/>
      <c r="J267" s="930"/>
      <c r="L267" s="930"/>
      <c r="M267" s="930"/>
      <c r="S267" s="930"/>
      <c r="U267" s="930"/>
    </row>
    <row r="268" spans="1:21" x14ac:dyDescent="0.2">
      <c r="A268">
        <v>1613000540</v>
      </c>
      <c r="B268" t="s">
        <v>2829</v>
      </c>
      <c r="C268" s="929">
        <v>101583</v>
      </c>
      <c r="D268" s="930">
        <v>92944.02</v>
      </c>
      <c r="E268">
        <v>0</v>
      </c>
      <c r="F268" s="930">
        <v>92944.02</v>
      </c>
      <c r="G268" s="930"/>
      <c r="I268" s="929"/>
      <c r="J268" s="930"/>
      <c r="L268" s="930"/>
      <c r="M268" s="930"/>
      <c r="S268" s="930"/>
      <c r="U268" s="930"/>
    </row>
    <row r="269" spans="1:21" x14ac:dyDescent="0.2">
      <c r="A269">
        <v>1613000570</v>
      </c>
      <c r="B269" t="s">
        <v>571</v>
      </c>
      <c r="C269" s="929">
        <v>260892</v>
      </c>
      <c r="D269" s="930">
        <v>208573.52</v>
      </c>
      <c r="E269">
        <v>0</v>
      </c>
      <c r="F269" s="930">
        <v>208573.52</v>
      </c>
      <c r="G269" s="930"/>
      <c r="I269" s="929"/>
      <c r="J269" s="930"/>
      <c r="L269" s="930"/>
      <c r="M269" s="930"/>
      <c r="S269" s="930"/>
      <c r="U269" s="930"/>
    </row>
    <row r="270" spans="1:21" x14ac:dyDescent="0.2">
      <c r="A270">
        <v>1615000110</v>
      </c>
      <c r="B270" t="s">
        <v>573</v>
      </c>
      <c r="C270" s="929">
        <v>404091</v>
      </c>
      <c r="D270" s="930">
        <v>380261.56</v>
      </c>
      <c r="E270">
        <v>0</v>
      </c>
      <c r="F270" s="930">
        <v>380261.56</v>
      </c>
      <c r="G270" s="930"/>
      <c r="I270" s="929"/>
      <c r="J270" s="930"/>
      <c r="L270" s="930"/>
      <c r="M270" s="930"/>
      <c r="S270" s="930"/>
      <c r="U270" s="930"/>
    </row>
    <row r="271" spans="1:21" x14ac:dyDescent="0.2">
      <c r="A271">
        <v>1615100110</v>
      </c>
      <c r="B271" t="s">
        <v>574</v>
      </c>
      <c r="C271" s="929">
        <v>114705</v>
      </c>
      <c r="D271" s="930">
        <v>140074.81</v>
      </c>
      <c r="E271">
        <v>0</v>
      </c>
      <c r="F271" s="930">
        <v>140074.81</v>
      </c>
      <c r="G271" s="930"/>
      <c r="I271" s="929"/>
      <c r="J271" s="930"/>
      <c r="L271" s="930"/>
      <c r="M271" s="930"/>
      <c r="S271" s="930"/>
      <c r="U271" s="930"/>
    </row>
    <row r="272" spans="1:21" x14ac:dyDescent="0.2">
      <c r="A272">
        <v>1617000581</v>
      </c>
      <c r="B272" t="s">
        <v>2830</v>
      </c>
      <c r="C272" s="929">
        <v>120000</v>
      </c>
      <c r="D272" s="930">
        <v>108929.94</v>
      </c>
      <c r="E272" s="930">
        <v>23400</v>
      </c>
      <c r="F272" s="930">
        <v>132329.94</v>
      </c>
      <c r="G272" s="930"/>
      <c r="I272" s="929"/>
      <c r="J272" s="930"/>
      <c r="K272" s="930"/>
      <c r="L272" s="930"/>
      <c r="M272" s="930"/>
      <c r="S272" s="930"/>
      <c r="U272" s="930"/>
    </row>
    <row r="273" spans="1:21" x14ac:dyDescent="0.2">
      <c r="A273">
        <v>1617000750</v>
      </c>
      <c r="B273" t="s">
        <v>2831</v>
      </c>
      <c r="C273" s="929">
        <v>307044</v>
      </c>
      <c r="D273" s="930">
        <v>305318</v>
      </c>
      <c r="E273">
        <v>0</v>
      </c>
      <c r="F273" s="930">
        <v>305318</v>
      </c>
      <c r="G273" s="930"/>
      <c r="I273" s="929"/>
      <c r="J273" s="930"/>
      <c r="L273" s="930"/>
      <c r="M273" s="930"/>
      <c r="S273" s="930"/>
      <c r="U273" s="930"/>
    </row>
    <row r="274" spans="1:21" x14ac:dyDescent="0.2">
      <c r="A274">
        <v>1617000780</v>
      </c>
      <c r="B274" t="s">
        <v>2832</v>
      </c>
      <c r="C274">
        <v>0</v>
      </c>
      <c r="D274">
        <v>0</v>
      </c>
      <c r="E274">
        <v>0</v>
      </c>
      <c r="F274">
        <v>0</v>
      </c>
    </row>
    <row r="275" spans="1:21" x14ac:dyDescent="0.2">
      <c r="A275">
        <v>1617100750</v>
      </c>
      <c r="B275" t="s">
        <v>577</v>
      </c>
      <c r="C275" s="929">
        <v>44982</v>
      </c>
      <c r="D275" s="930">
        <v>5250</v>
      </c>
      <c r="E275">
        <v>0</v>
      </c>
      <c r="F275" s="930">
        <v>5250</v>
      </c>
      <c r="G275" s="930"/>
      <c r="I275" s="929"/>
      <c r="J275" s="930"/>
      <c r="L275" s="930"/>
      <c r="M275" s="930"/>
      <c r="S275" s="930"/>
      <c r="U275" s="930"/>
    </row>
    <row r="276" spans="1:21" x14ac:dyDescent="0.2">
      <c r="A276">
        <v>1617100760</v>
      </c>
      <c r="B276" t="s">
        <v>2833</v>
      </c>
      <c r="C276" s="929">
        <v>52479</v>
      </c>
      <c r="D276" s="930">
        <v>39585.22</v>
      </c>
      <c r="E276" s="930">
        <v>5000</v>
      </c>
      <c r="F276" s="930">
        <v>44585.22</v>
      </c>
      <c r="G276" s="930"/>
      <c r="I276" s="929"/>
      <c r="J276" s="930"/>
      <c r="K276" s="930"/>
      <c r="L276" s="930"/>
      <c r="M276" s="930"/>
      <c r="S276" s="930"/>
      <c r="U276" s="930"/>
    </row>
    <row r="277" spans="1:21" x14ac:dyDescent="0.2">
      <c r="A277">
        <v>1621000110</v>
      </c>
      <c r="B277" t="s">
        <v>582</v>
      </c>
      <c r="C277" s="929">
        <v>304875</v>
      </c>
      <c r="D277" s="930">
        <v>212584.95</v>
      </c>
      <c r="E277">
        <v>0</v>
      </c>
      <c r="F277" s="930">
        <v>212584.95</v>
      </c>
      <c r="G277" s="930"/>
      <c r="I277" s="929"/>
      <c r="J277" s="930"/>
      <c r="L277" s="930"/>
      <c r="M277" s="930"/>
      <c r="S277" s="930"/>
      <c r="U277" s="930"/>
    </row>
    <row r="278" spans="1:21" x14ac:dyDescent="0.2">
      <c r="A278">
        <v>1621000470</v>
      </c>
      <c r="B278" t="s">
        <v>2834</v>
      </c>
      <c r="C278" s="929">
        <v>3753</v>
      </c>
      <c r="D278">
        <v>0</v>
      </c>
      <c r="E278" s="930">
        <v>1500</v>
      </c>
      <c r="F278" s="930">
        <v>1500</v>
      </c>
      <c r="G278" s="930"/>
      <c r="I278" s="929"/>
      <c r="K278" s="930"/>
      <c r="L278" s="930"/>
      <c r="M278" s="930"/>
      <c r="S278" s="930"/>
      <c r="U278" s="930"/>
    </row>
    <row r="279" spans="1:21" x14ac:dyDescent="0.2">
      <c r="A279">
        <v>1621000750</v>
      </c>
      <c r="B279" t="s">
        <v>2835</v>
      </c>
      <c r="C279" s="929">
        <v>255159</v>
      </c>
      <c r="D279" s="930">
        <v>266700</v>
      </c>
      <c r="E279">
        <v>0</v>
      </c>
      <c r="F279" s="930">
        <v>266700</v>
      </c>
      <c r="G279" s="930"/>
      <c r="I279" s="929"/>
      <c r="J279" s="930"/>
      <c r="L279" s="930"/>
      <c r="M279" s="930"/>
      <c r="S279" s="930"/>
      <c r="U279" s="930"/>
    </row>
    <row r="280" spans="1:21" x14ac:dyDescent="0.2">
      <c r="A280">
        <v>1621500110</v>
      </c>
      <c r="B280" t="s">
        <v>2836</v>
      </c>
      <c r="C280" s="929">
        <v>133443</v>
      </c>
      <c r="D280" s="930">
        <v>125579.69</v>
      </c>
      <c r="E280">
        <v>0</v>
      </c>
      <c r="F280" s="930">
        <v>125579.69</v>
      </c>
      <c r="G280" s="930"/>
      <c r="I280" s="929"/>
      <c r="J280" s="930"/>
      <c r="L280" s="930"/>
      <c r="M280" s="930"/>
      <c r="S280" s="930"/>
      <c r="U280" s="930"/>
    </row>
    <row r="281" spans="1:21" x14ac:dyDescent="0.2">
      <c r="A281">
        <v>1623000110</v>
      </c>
      <c r="B281" t="s">
        <v>2837</v>
      </c>
      <c r="C281" s="929">
        <v>246132</v>
      </c>
      <c r="D281" s="930">
        <v>248375.44</v>
      </c>
      <c r="E281">
        <v>0</v>
      </c>
      <c r="F281" s="930">
        <v>248375.44</v>
      </c>
      <c r="G281" s="930"/>
      <c r="I281" s="929"/>
      <c r="J281" s="930"/>
      <c r="L281" s="930"/>
      <c r="M281" s="930"/>
      <c r="S281" s="930"/>
      <c r="U281" s="930"/>
    </row>
    <row r="282" spans="1:21" x14ac:dyDescent="0.2">
      <c r="A282">
        <v>1623000410</v>
      </c>
      <c r="B282" t="s">
        <v>2838</v>
      </c>
      <c r="C282">
        <v>0</v>
      </c>
      <c r="D282">
        <v>0</v>
      </c>
      <c r="E282">
        <v>0</v>
      </c>
      <c r="F282">
        <v>0</v>
      </c>
    </row>
    <row r="283" spans="1:21" x14ac:dyDescent="0.2">
      <c r="A283">
        <v>1623000420</v>
      </c>
      <c r="B283" t="s">
        <v>588</v>
      </c>
      <c r="C283" s="929">
        <v>22491</v>
      </c>
      <c r="D283" s="930">
        <v>22500</v>
      </c>
      <c r="E283">
        <v>0</v>
      </c>
      <c r="F283" s="930">
        <v>22500</v>
      </c>
      <c r="I283" s="929"/>
      <c r="J283" s="930"/>
      <c r="L283" s="930"/>
      <c r="M283" s="930"/>
      <c r="S283" s="930"/>
      <c r="U283" s="930"/>
    </row>
    <row r="284" spans="1:21" x14ac:dyDescent="0.2">
      <c r="A284">
        <v>1623000430</v>
      </c>
      <c r="B284" t="s">
        <v>2839</v>
      </c>
      <c r="C284">
        <v>0</v>
      </c>
      <c r="D284">
        <v>0</v>
      </c>
      <c r="E284">
        <v>0</v>
      </c>
      <c r="F284">
        <v>0</v>
      </c>
    </row>
    <row r="285" spans="1:21" x14ac:dyDescent="0.2">
      <c r="A285">
        <v>1623000431</v>
      </c>
      <c r="B285" t="s">
        <v>2840</v>
      </c>
      <c r="C285" s="929">
        <v>9747</v>
      </c>
      <c r="D285" s="930">
        <v>9987.51</v>
      </c>
      <c r="E285">
        <v>0</v>
      </c>
      <c r="F285" s="930">
        <v>9987.51</v>
      </c>
      <c r="I285" s="929"/>
      <c r="J285" s="930"/>
      <c r="L285" s="930"/>
      <c r="M285" s="930"/>
      <c r="S285" s="930"/>
      <c r="U285" s="930"/>
    </row>
    <row r="286" spans="1:21" x14ac:dyDescent="0.2">
      <c r="A286">
        <v>1623000470</v>
      </c>
      <c r="B286" t="s">
        <v>590</v>
      </c>
      <c r="C286" s="929">
        <v>3897</v>
      </c>
      <c r="D286">
        <v>0</v>
      </c>
      <c r="E286" s="930">
        <v>2550</v>
      </c>
      <c r="F286" s="930">
        <v>2550</v>
      </c>
      <c r="G286" s="930"/>
      <c r="I286" s="929"/>
      <c r="J286" s="930"/>
      <c r="K286" s="930"/>
      <c r="L286" s="930"/>
      <c r="M286" s="930"/>
      <c r="S286" s="930"/>
      <c r="U286" s="930"/>
    </row>
    <row r="287" spans="1:21" x14ac:dyDescent="0.2">
      <c r="A287">
        <v>1623000540</v>
      </c>
      <c r="B287" t="s">
        <v>2841</v>
      </c>
      <c r="C287" s="929">
        <v>7497</v>
      </c>
      <c r="D287" s="930">
        <v>5555.73</v>
      </c>
      <c r="E287">
        <v>0</v>
      </c>
      <c r="F287" s="930">
        <v>5555.73</v>
      </c>
      <c r="G287" s="930"/>
      <c r="I287" s="929"/>
      <c r="J287" s="930"/>
      <c r="L287" s="930"/>
      <c r="M287" s="930"/>
      <c r="S287" s="930"/>
      <c r="U287" s="930"/>
    </row>
    <row r="288" spans="1:21" x14ac:dyDescent="0.2">
      <c r="A288">
        <v>1623000700</v>
      </c>
      <c r="B288" t="s">
        <v>2069</v>
      </c>
      <c r="C288" s="929">
        <v>37485</v>
      </c>
      <c r="D288" s="930">
        <v>21347.82</v>
      </c>
      <c r="E288">
        <v>0</v>
      </c>
      <c r="F288" s="930">
        <v>21347.82</v>
      </c>
      <c r="G288" s="930"/>
      <c r="I288" s="929"/>
      <c r="J288" s="930"/>
      <c r="L288" s="930"/>
      <c r="M288" s="930"/>
      <c r="S288" s="930"/>
      <c r="U288" s="930"/>
    </row>
    <row r="289" spans="1:21" x14ac:dyDescent="0.2">
      <c r="A289">
        <v>1623000750</v>
      </c>
      <c r="B289" t="s">
        <v>2842</v>
      </c>
      <c r="C289" s="929">
        <v>480636</v>
      </c>
      <c r="D289" s="930">
        <v>289766.44</v>
      </c>
      <c r="E289">
        <v>0</v>
      </c>
      <c r="F289" s="930">
        <v>289766.44</v>
      </c>
      <c r="G289" s="930"/>
      <c r="I289" s="929"/>
      <c r="J289" s="930"/>
      <c r="L289" s="930"/>
      <c r="M289" s="930"/>
      <c r="S289" s="930"/>
      <c r="U289" s="930"/>
    </row>
    <row r="290" spans="1:21" x14ac:dyDescent="0.2">
      <c r="A290">
        <v>1623000780</v>
      </c>
      <c r="B290" t="s">
        <v>595</v>
      </c>
      <c r="C290">
        <v>0</v>
      </c>
      <c r="D290">
        <v>0</v>
      </c>
      <c r="E290">
        <v>0</v>
      </c>
      <c r="F290">
        <v>0</v>
      </c>
    </row>
    <row r="291" spans="1:21" x14ac:dyDescent="0.2">
      <c r="A291">
        <v>1623100780</v>
      </c>
      <c r="B291" t="s">
        <v>2843</v>
      </c>
      <c r="C291" s="929">
        <v>149940</v>
      </c>
      <c r="D291" s="930">
        <v>75205.100000000006</v>
      </c>
      <c r="E291">
        <v>0</v>
      </c>
      <c r="F291" s="930">
        <v>75205.100000000006</v>
      </c>
      <c r="G291" s="930"/>
      <c r="I291" s="929"/>
      <c r="J291" s="930"/>
      <c r="L291" s="930"/>
      <c r="M291" s="930"/>
      <c r="S291" s="930"/>
      <c r="U291" s="930"/>
    </row>
    <row r="292" spans="1:21" x14ac:dyDescent="0.2">
      <c r="A292">
        <v>1631000610</v>
      </c>
      <c r="B292" t="s">
        <v>2844</v>
      </c>
      <c r="C292" s="929">
        <v>314640</v>
      </c>
      <c r="D292" s="930">
        <v>303639.69</v>
      </c>
      <c r="E292">
        <v>0</v>
      </c>
      <c r="F292" s="930">
        <v>303639.69</v>
      </c>
      <c r="G292" s="930"/>
      <c r="I292" s="929"/>
      <c r="J292" s="930"/>
      <c r="L292" s="930"/>
      <c r="M292" s="930"/>
      <c r="S292" s="930"/>
      <c r="U292" s="930"/>
    </row>
    <row r="293" spans="1:21" x14ac:dyDescent="0.2">
      <c r="A293">
        <v>1631000620</v>
      </c>
      <c r="B293" t="s">
        <v>2845</v>
      </c>
      <c r="C293">
        <v>0</v>
      </c>
      <c r="D293">
        <v>0</v>
      </c>
      <c r="E293">
        <v>0</v>
      </c>
      <c r="F293">
        <v>0</v>
      </c>
    </row>
    <row r="294" spans="1:21" x14ac:dyDescent="0.2">
      <c r="A294">
        <v>1631000650</v>
      </c>
      <c r="B294" t="s">
        <v>2846</v>
      </c>
      <c r="C294" s="929">
        <v>811197</v>
      </c>
      <c r="D294" s="930">
        <v>843067.62</v>
      </c>
      <c r="E294">
        <v>0</v>
      </c>
      <c r="F294" s="930">
        <v>843067.62</v>
      </c>
      <c r="G294" s="930"/>
      <c r="I294" s="929"/>
      <c r="J294" s="930"/>
      <c r="L294" s="930"/>
      <c r="M294" s="930"/>
      <c r="S294" s="930"/>
      <c r="U294" s="930"/>
    </row>
    <row r="295" spans="1:21" x14ac:dyDescent="0.2">
      <c r="A295">
        <v>1632000620</v>
      </c>
      <c r="B295" t="s">
        <v>2847</v>
      </c>
      <c r="C295">
        <v>0</v>
      </c>
      <c r="D295" s="930">
        <v>18438.61</v>
      </c>
      <c r="E295">
        <v>0</v>
      </c>
      <c r="F295" s="930">
        <v>18438.61</v>
      </c>
      <c r="G295" s="930"/>
      <c r="J295" s="930"/>
      <c r="L295" s="930"/>
      <c r="M295" s="930"/>
      <c r="S295" s="930"/>
      <c r="U295" s="930"/>
    </row>
    <row r="296" spans="1:21" x14ac:dyDescent="0.2">
      <c r="A296">
        <v>1633000620</v>
      </c>
      <c r="B296" t="s">
        <v>2848</v>
      </c>
      <c r="C296" s="929">
        <v>365580</v>
      </c>
      <c r="D296" s="930">
        <v>440646.33</v>
      </c>
      <c r="E296">
        <v>0</v>
      </c>
      <c r="F296" s="930">
        <v>440646.33</v>
      </c>
      <c r="G296" s="930"/>
      <c r="I296" s="929"/>
      <c r="J296" s="930"/>
      <c r="L296" s="930"/>
      <c r="M296" s="930"/>
      <c r="S296" s="930"/>
      <c r="U296" s="930"/>
    </row>
    <row r="297" spans="1:21" x14ac:dyDescent="0.2">
      <c r="A297">
        <v>1649100691</v>
      </c>
      <c r="B297" t="s">
        <v>2849</v>
      </c>
      <c r="C297" s="929">
        <v>307665</v>
      </c>
      <c r="D297" s="930">
        <v>260814.63</v>
      </c>
      <c r="E297">
        <v>0</v>
      </c>
      <c r="F297" s="930">
        <v>260814.63</v>
      </c>
      <c r="G297" s="930"/>
      <c r="I297" s="929"/>
      <c r="J297" s="930"/>
      <c r="L297" s="930"/>
      <c r="M297" s="930"/>
      <c r="S297" s="930"/>
      <c r="U297" s="930"/>
    </row>
    <row r="298" spans="1:21" x14ac:dyDescent="0.2">
      <c r="A298">
        <v>1649100692</v>
      </c>
      <c r="B298" t="s">
        <v>2850</v>
      </c>
      <c r="C298" s="929">
        <v>512379</v>
      </c>
      <c r="D298" s="930">
        <v>510860.67</v>
      </c>
      <c r="E298">
        <v>0</v>
      </c>
      <c r="F298" s="930">
        <v>510860.67</v>
      </c>
      <c r="G298" s="930"/>
      <c r="I298" s="929"/>
      <c r="J298" s="930"/>
      <c r="L298" s="930"/>
      <c r="M298" s="930"/>
      <c r="S298" s="930"/>
      <c r="U298" s="930"/>
    </row>
    <row r="299" spans="1:21" x14ac:dyDescent="0.2">
      <c r="A299">
        <v>1649100693</v>
      </c>
      <c r="B299" t="s">
        <v>2851</v>
      </c>
      <c r="C299" s="929">
        <v>46827</v>
      </c>
      <c r="D299" s="930">
        <v>38885.94</v>
      </c>
      <c r="E299">
        <v>0</v>
      </c>
      <c r="F299" s="930">
        <v>38885.94</v>
      </c>
      <c r="G299" s="930"/>
      <c r="I299" s="929"/>
      <c r="J299" s="930"/>
      <c r="L299" s="930"/>
      <c r="M299" s="930"/>
      <c r="S299" s="930"/>
      <c r="U299" s="930"/>
    </row>
    <row r="300" spans="1:21" x14ac:dyDescent="0.2">
      <c r="A300">
        <v>1699999110</v>
      </c>
      <c r="B300" t="s">
        <v>2852</v>
      </c>
      <c r="C300">
        <v>0</v>
      </c>
      <c r="D300">
        <v>0</v>
      </c>
      <c r="E300">
        <v>0</v>
      </c>
      <c r="F300">
        <v>0</v>
      </c>
    </row>
    <row r="301" spans="1:21" x14ac:dyDescent="0.2">
      <c r="A301">
        <v>1711000730</v>
      </c>
      <c r="B301" t="s">
        <v>2853</v>
      </c>
      <c r="C301" s="929">
        <v>15597</v>
      </c>
      <c r="D301" s="930">
        <v>14904.57</v>
      </c>
      <c r="E301">
        <v>0</v>
      </c>
      <c r="F301" s="930">
        <v>14904.57</v>
      </c>
      <c r="I301" s="929"/>
      <c r="J301" s="930"/>
      <c r="L301" s="930"/>
      <c r="M301" s="930"/>
      <c r="S301" s="930"/>
      <c r="U301" s="930"/>
    </row>
    <row r="302" spans="1:21" x14ac:dyDescent="0.2">
      <c r="A302">
        <v>1711000735</v>
      </c>
      <c r="B302" t="s">
        <v>2854</v>
      </c>
      <c r="C302" s="929">
        <v>26991</v>
      </c>
      <c r="D302" s="930">
        <v>22371</v>
      </c>
      <c r="E302">
        <v>0</v>
      </c>
      <c r="F302" s="930">
        <v>22371</v>
      </c>
      <c r="G302" s="930"/>
      <c r="I302" s="929"/>
      <c r="J302" s="930"/>
      <c r="L302" s="930"/>
      <c r="M302" s="930"/>
      <c r="S302" s="930"/>
      <c r="U302" s="930"/>
    </row>
    <row r="303" spans="1:21" x14ac:dyDescent="0.2">
      <c r="A303">
        <v>1711100110</v>
      </c>
      <c r="B303" t="s">
        <v>2855</v>
      </c>
      <c r="C303" s="929">
        <v>89964</v>
      </c>
      <c r="D303" s="930">
        <v>85496.52</v>
      </c>
      <c r="E303">
        <v>0</v>
      </c>
      <c r="F303" s="930">
        <v>85496.52</v>
      </c>
      <c r="G303" s="930"/>
      <c r="I303" s="929"/>
      <c r="J303" s="930"/>
      <c r="L303" s="930"/>
      <c r="M303" s="930"/>
      <c r="S303" s="930"/>
      <c r="U303" s="930"/>
    </row>
    <row r="304" spans="1:21" x14ac:dyDescent="0.2">
      <c r="A304">
        <v>1712200110</v>
      </c>
      <c r="B304" t="s">
        <v>2856</v>
      </c>
      <c r="C304" s="929">
        <v>67473</v>
      </c>
      <c r="D304" s="930">
        <v>66248.320000000007</v>
      </c>
      <c r="E304">
        <v>0</v>
      </c>
      <c r="F304" s="930">
        <v>66248.320000000007</v>
      </c>
      <c r="G304" s="930"/>
      <c r="I304" s="929"/>
      <c r="J304" s="930"/>
      <c r="L304" s="930"/>
      <c r="M304" s="930"/>
      <c r="S304" s="930"/>
      <c r="U304" s="930"/>
    </row>
    <row r="305" spans="1:21" x14ac:dyDescent="0.2">
      <c r="A305">
        <v>1712300750</v>
      </c>
      <c r="B305" t="s">
        <v>2857</v>
      </c>
      <c r="C305" s="929">
        <v>3298680</v>
      </c>
      <c r="D305" s="930">
        <v>3212514.26</v>
      </c>
      <c r="E305">
        <v>0</v>
      </c>
      <c r="F305" s="930">
        <v>3212514.26</v>
      </c>
      <c r="G305" s="930"/>
      <c r="I305" s="929"/>
      <c r="J305" s="930"/>
      <c r="L305" s="930"/>
      <c r="M305" s="930"/>
      <c r="S305" s="930"/>
      <c r="U305" s="930"/>
    </row>
    <row r="306" spans="1:21" x14ac:dyDescent="0.2">
      <c r="A306">
        <v>1712301750</v>
      </c>
      <c r="B306" t="s">
        <v>2858</v>
      </c>
      <c r="C306" s="929">
        <v>252654</v>
      </c>
      <c r="D306" s="930">
        <v>168480</v>
      </c>
      <c r="E306" s="930">
        <v>63180</v>
      </c>
      <c r="F306" s="930">
        <v>231660</v>
      </c>
      <c r="G306" s="930"/>
      <c r="I306" s="929"/>
      <c r="J306" s="930"/>
      <c r="K306" s="930"/>
      <c r="L306" s="930"/>
      <c r="M306" s="930"/>
      <c r="S306" s="930"/>
      <c r="U306" s="930"/>
    </row>
    <row r="307" spans="1:21" x14ac:dyDescent="0.2">
      <c r="A307">
        <v>1713000110</v>
      </c>
      <c r="B307" t="s">
        <v>615</v>
      </c>
      <c r="C307" s="929">
        <v>150003</v>
      </c>
      <c r="D307" s="930">
        <v>161682.89000000001</v>
      </c>
      <c r="E307">
        <v>0</v>
      </c>
      <c r="F307" s="930">
        <v>161682.89000000001</v>
      </c>
      <c r="G307" s="930"/>
      <c r="I307" s="929"/>
      <c r="J307" s="930"/>
      <c r="L307" s="930"/>
      <c r="M307" s="930"/>
      <c r="S307" s="930"/>
      <c r="U307" s="930"/>
    </row>
    <row r="308" spans="1:21" x14ac:dyDescent="0.2">
      <c r="A308">
        <v>1713000720</v>
      </c>
      <c r="B308" t="s">
        <v>2859</v>
      </c>
      <c r="C308" s="929">
        <v>33741</v>
      </c>
      <c r="D308" s="930">
        <v>1624</v>
      </c>
      <c r="E308" s="930">
        <v>20137</v>
      </c>
      <c r="F308" s="930">
        <v>21761</v>
      </c>
      <c r="G308" s="930"/>
      <c r="I308" s="929"/>
      <c r="J308" s="930"/>
      <c r="K308" s="930"/>
      <c r="L308" s="930"/>
      <c r="M308" s="930"/>
      <c r="S308" s="930"/>
      <c r="U308" s="930"/>
    </row>
    <row r="309" spans="1:21" x14ac:dyDescent="0.2">
      <c r="A309">
        <v>1713000750</v>
      </c>
      <c r="B309" t="s">
        <v>618</v>
      </c>
      <c r="C309" s="929">
        <v>22494</v>
      </c>
      <c r="D309">
        <v>0</v>
      </c>
      <c r="E309" s="930">
        <v>17492</v>
      </c>
      <c r="F309" s="930">
        <v>17492</v>
      </c>
      <c r="G309" s="930"/>
      <c r="I309" s="929"/>
      <c r="K309" s="930"/>
      <c r="L309" s="930"/>
      <c r="M309" s="930"/>
      <c r="S309" s="930"/>
      <c r="U309" s="930"/>
    </row>
    <row r="310" spans="1:21" x14ac:dyDescent="0.2">
      <c r="A310">
        <v>1713300110</v>
      </c>
      <c r="B310" t="s">
        <v>620</v>
      </c>
      <c r="C310" s="929">
        <v>22491</v>
      </c>
      <c r="D310">
        <v>0</v>
      </c>
      <c r="E310">
        <v>0</v>
      </c>
      <c r="F310">
        <v>0</v>
      </c>
      <c r="G310" s="930"/>
      <c r="I310" s="929"/>
      <c r="M310" s="930"/>
    </row>
    <row r="311" spans="1:21" x14ac:dyDescent="0.2">
      <c r="A311">
        <v>1714100110</v>
      </c>
      <c r="B311" t="s">
        <v>621</v>
      </c>
      <c r="C311" s="929">
        <v>67473</v>
      </c>
      <c r="D311" s="930">
        <v>68877.64</v>
      </c>
      <c r="E311">
        <v>0</v>
      </c>
      <c r="F311" s="930">
        <v>68877.64</v>
      </c>
      <c r="G311" s="930"/>
      <c r="I311" s="929"/>
      <c r="J311" s="930"/>
      <c r="L311" s="930"/>
      <c r="M311" s="930"/>
      <c r="S311" s="930"/>
      <c r="U311" s="930"/>
    </row>
    <row r="312" spans="1:21" x14ac:dyDescent="0.2">
      <c r="A312">
        <v>1714300720</v>
      </c>
      <c r="B312" t="s">
        <v>622</v>
      </c>
      <c r="C312" s="929">
        <v>8622</v>
      </c>
      <c r="D312" s="930">
        <v>5660.2</v>
      </c>
      <c r="E312" s="930">
        <v>2868.8</v>
      </c>
      <c r="F312" s="930">
        <v>8529</v>
      </c>
      <c r="I312" s="929"/>
      <c r="J312" s="930"/>
      <c r="K312" s="930"/>
      <c r="L312" s="930"/>
      <c r="M312" s="930"/>
      <c r="S312" s="930"/>
      <c r="U312" s="930"/>
    </row>
    <row r="313" spans="1:21" x14ac:dyDescent="0.2">
      <c r="A313">
        <v>1715200720</v>
      </c>
      <c r="B313" t="s">
        <v>2860</v>
      </c>
      <c r="C313" s="929">
        <v>12000</v>
      </c>
      <c r="D313" s="930">
        <v>9552</v>
      </c>
      <c r="E313">
        <v>0</v>
      </c>
      <c r="F313" s="930">
        <v>9552</v>
      </c>
      <c r="G313" s="930"/>
      <c r="I313" s="929"/>
      <c r="J313" s="930"/>
      <c r="L313" s="930"/>
      <c r="M313" s="930"/>
      <c r="S313" s="930"/>
      <c r="U313" s="930"/>
    </row>
    <row r="314" spans="1:21" x14ac:dyDescent="0.2">
      <c r="A314">
        <v>1721000110</v>
      </c>
      <c r="B314" t="s">
        <v>1809</v>
      </c>
      <c r="C314" s="929">
        <v>44982</v>
      </c>
      <c r="D314" s="930">
        <v>39687.89</v>
      </c>
      <c r="E314">
        <v>0</v>
      </c>
      <c r="F314" s="930">
        <v>39687.89</v>
      </c>
      <c r="G314" s="930"/>
      <c r="I314" s="929"/>
      <c r="J314" s="930"/>
      <c r="L314" s="930"/>
      <c r="M314" s="930"/>
      <c r="S314" s="930"/>
      <c r="U314" s="930"/>
    </row>
    <row r="315" spans="1:21" x14ac:dyDescent="0.2">
      <c r="A315">
        <v>1721000750</v>
      </c>
      <c r="B315" t="s">
        <v>2861</v>
      </c>
      <c r="C315" s="929">
        <v>1490856</v>
      </c>
      <c r="D315" s="930">
        <v>1052381.3999999999</v>
      </c>
      <c r="E315">
        <v>0</v>
      </c>
      <c r="F315" s="930">
        <v>1052381.3999999999</v>
      </c>
      <c r="G315" s="930"/>
      <c r="I315" s="929"/>
      <c r="J315" s="930"/>
      <c r="L315" s="930"/>
      <c r="M315" s="930"/>
      <c r="S315" s="930"/>
      <c r="U315" s="930"/>
    </row>
    <row r="316" spans="1:21" x14ac:dyDescent="0.2">
      <c r="A316">
        <v>1721000910</v>
      </c>
      <c r="B316" t="s">
        <v>2862</v>
      </c>
      <c r="C316">
        <v>0</v>
      </c>
      <c r="D316">
        <v>0</v>
      </c>
      <c r="E316">
        <v>0</v>
      </c>
      <c r="F316">
        <v>0</v>
      </c>
    </row>
    <row r="317" spans="1:21" x14ac:dyDescent="0.2">
      <c r="A317">
        <v>1722100410</v>
      </c>
      <c r="B317" t="s">
        <v>627</v>
      </c>
      <c r="C317" s="929">
        <v>20241</v>
      </c>
      <c r="D317" s="930">
        <v>20250</v>
      </c>
      <c r="E317">
        <v>0</v>
      </c>
      <c r="F317" s="930">
        <v>20250</v>
      </c>
      <c r="I317" s="929"/>
      <c r="J317" s="930"/>
      <c r="L317" s="930"/>
      <c r="M317" s="930"/>
      <c r="S317" s="930"/>
      <c r="U317" s="930"/>
    </row>
    <row r="318" spans="1:21" x14ac:dyDescent="0.2">
      <c r="A318">
        <v>1723000830</v>
      </c>
      <c r="B318" t="s">
        <v>2863</v>
      </c>
      <c r="C318" s="929">
        <v>52515</v>
      </c>
      <c r="D318" s="930">
        <v>52539</v>
      </c>
      <c r="E318">
        <v>0</v>
      </c>
      <c r="F318" s="930">
        <v>52539</v>
      </c>
      <c r="I318" s="929"/>
      <c r="J318" s="930"/>
      <c r="L318" s="930"/>
      <c r="S318" s="930"/>
      <c r="U318" s="930"/>
    </row>
    <row r="319" spans="1:21" x14ac:dyDescent="0.2">
      <c r="A319">
        <v>1723100830</v>
      </c>
      <c r="B319" t="s">
        <v>629</v>
      </c>
      <c r="C319" s="929">
        <v>120582</v>
      </c>
      <c r="D319" s="930">
        <v>4864.87</v>
      </c>
      <c r="E319" s="930">
        <v>30794.7</v>
      </c>
      <c r="F319" s="930">
        <v>35659.57</v>
      </c>
      <c r="G319" s="930"/>
      <c r="I319" s="929"/>
      <c r="J319" s="930"/>
      <c r="K319" s="930"/>
      <c r="L319" s="930"/>
      <c r="M319" s="930"/>
      <c r="S319" s="930"/>
      <c r="U319" s="930"/>
    </row>
    <row r="320" spans="1:21" x14ac:dyDescent="0.2">
      <c r="A320">
        <v>1724000830</v>
      </c>
      <c r="B320" t="s">
        <v>2864</v>
      </c>
      <c r="C320" s="929">
        <v>116352</v>
      </c>
      <c r="D320" s="930">
        <v>116400</v>
      </c>
      <c r="E320">
        <v>0</v>
      </c>
      <c r="F320" s="930">
        <v>116400</v>
      </c>
      <c r="I320" s="929"/>
      <c r="J320" s="930"/>
      <c r="L320" s="930"/>
      <c r="S320" s="930"/>
      <c r="U320" s="930"/>
    </row>
    <row r="321" spans="1:21" x14ac:dyDescent="0.2">
      <c r="A321">
        <v>1725000910</v>
      </c>
      <c r="B321" t="s">
        <v>2862</v>
      </c>
      <c r="C321">
        <v>0</v>
      </c>
      <c r="D321">
        <v>0</v>
      </c>
      <c r="E321">
        <v>0</v>
      </c>
      <c r="F321">
        <v>0</v>
      </c>
    </row>
    <row r="322" spans="1:21" x14ac:dyDescent="0.2">
      <c r="A322">
        <v>1731000110</v>
      </c>
      <c r="B322" t="s">
        <v>633</v>
      </c>
      <c r="C322" s="929">
        <v>429804</v>
      </c>
      <c r="D322" s="930">
        <v>389695.37</v>
      </c>
      <c r="E322">
        <v>0</v>
      </c>
      <c r="F322" s="930">
        <v>389695.37</v>
      </c>
      <c r="G322" s="930"/>
      <c r="I322" s="929"/>
      <c r="J322" s="930"/>
      <c r="L322" s="930"/>
      <c r="M322" s="930"/>
      <c r="S322" s="930"/>
      <c r="U322" s="930"/>
    </row>
    <row r="323" spans="1:21" x14ac:dyDescent="0.2">
      <c r="A323">
        <v>1731000720</v>
      </c>
      <c r="B323" t="s">
        <v>2865</v>
      </c>
      <c r="C323" s="929">
        <v>5000</v>
      </c>
      <c r="D323" s="930">
        <v>3850.24</v>
      </c>
      <c r="E323">
        <v>500</v>
      </c>
      <c r="F323" s="930">
        <v>4350.24</v>
      </c>
      <c r="I323" s="929"/>
      <c r="J323" s="930"/>
      <c r="L323" s="930"/>
      <c r="S323" s="930"/>
      <c r="U323" s="930"/>
    </row>
    <row r="324" spans="1:21" x14ac:dyDescent="0.2">
      <c r="A324">
        <v>1731000735</v>
      </c>
      <c r="B324" t="s">
        <v>2866</v>
      </c>
      <c r="C324">
        <v>0</v>
      </c>
      <c r="D324">
        <v>0</v>
      </c>
      <c r="E324">
        <v>0</v>
      </c>
      <c r="F324">
        <v>0</v>
      </c>
    </row>
    <row r="325" spans="1:21" x14ac:dyDescent="0.2">
      <c r="A325">
        <v>1731000750</v>
      </c>
      <c r="B325" t="s">
        <v>2867</v>
      </c>
      <c r="C325">
        <v>0</v>
      </c>
      <c r="D325">
        <v>0</v>
      </c>
      <c r="E325">
        <v>0</v>
      </c>
      <c r="F325">
        <v>0</v>
      </c>
    </row>
    <row r="326" spans="1:21" x14ac:dyDescent="0.2">
      <c r="A326">
        <v>1731000780</v>
      </c>
      <c r="B326" t="s">
        <v>2868</v>
      </c>
      <c r="C326" s="929">
        <v>215910</v>
      </c>
      <c r="D326">
        <v>0</v>
      </c>
      <c r="E326">
        <v>0</v>
      </c>
      <c r="F326">
        <v>0</v>
      </c>
      <c r="G326" s="930"/>
      <c r="I326" s="929"/>
      <c r="M326" s="930"/>
    </row>
    <row r="327" spans="1:21" x14ac:dyDescent="0.2">
      <c r="A327">
        <v>1731100780</v>
      </c>
      <c r="B327" t="s">
        <v>2869</v>
      </c>
      <c r="C327">
        <v>0</v>
      </c>
      <c r="D327">
        <v>0</v>
      </c>
      <c r="E327">
        <v>0</v>
      </c>
      <c r="F327">
        <v>0</v>
      </c>
    </row>
    <row r="328" spans="1:21" x14ac:dyDescent="0.2">
      <c r="A328">
        <v>1733400810</v>
      </c>
      <c r="B328" t="s">
        <v>2870</v>
      </c>
      <c r="C328" s="929">
        <v>1123047</v>
      </c>
      <c r="D328" s="930">
        <v>701000</v>
      </c>
      <c r="E328">
        <v>0</v>
      </c>
      <c r="F328" s="930">
        <v>701000</v>
      </c>
      <c r="G328" s="930"/>
      <c r="I328" s="929"/>
      <c r="J328" s="930"/>
      <c r="L328" s="930"/>
      <c r="M328" s="930"/>
      <c r="S328" s="930"/>
      <c r="U328" s="930"/>
    </row>
    <row r="329" spans="1:21" x14ac:dyDescent="0.2">
      <c r="A329">
        <v>1741000540</v>
      </c>
      <c r="B329" t="s">
        <v>2871</v>
      </c>
      <c r="C329">
        <v>0</v>
      </c>
      <c r="D329" s="930">
        <v>1972.19</v>
      </c>
      <c r="E329">
        <v>0</v>
      </c>
      <c r="F329" s="930">
        <v>1972.19</v>
      </c>
      <c r="G329" s="930"/>
      <c r="J329" s="930"/>
      <c r="L329" s="930"/>
      <c r="M329" s="930"/>
      <c r="S329" s="930"/>
      <c r="U329" s="930"/>
    </row>
    <row r="330" spans="1:21" x14ac:dyDescent="0.2">
      <c r="A330">
        <v>1742200110</v>
      </c>
      <c r="B330" t="s">
        <v>2872</v>
      </c>
      <c r="C330" s="929">
        <v>533790</v>
      </c>
      <c r="D330" s="930">
        <v>435398.72</v>
      </c>
      <c r="E330">
        <v>0</v>
      </c>
      <c r="F330" s="930">
        <v>435398.72</v>
      </c>
      <c r="G330" s="930"/>
      <c r="I330" s="929"/>
      <c r="J330" s="930"/>
      <c r="L330" s="930"/>
      <c r="M330" s="930"/>
      <c r="S330" s="930"/>
      <c r="U330" s="930"/>
    </row>
    <row r="331" spans="1:21" x14ac:dyDescent="0.2">
      <c r="A331">
        <v>1742200720</v>
      </c>
      <c r="B331" t="s">
        <v>2873</v>
      </c>
      <c r="C331">
        <v>0</v>
      </c>
      <c r="D331">
        <v>0</v>
      </c>
      <c r="E331" s="930">
        <v>4000</v>
      </c>
      <c r="F331" s="930">
        <v>4000</v>
      </c>
      <c r="G331" s="930"/>
      <c r="K331" s="930"/>
      <c r="L331" s="930"/>
      <c r="M331" s="930"/>
      <c r="S331" s="930"/>
      <c r="U331" s="930"/>
    </row>
    <row r="332" spans="1:21" x14ac:dyDescent="0.2">
      <c r="A332">
        <v>1742200732</v>
      </c>
      <c r="B332" t="s">
        <v>2874</v>
      </c>
      <c r="C332" s="929">
        <v>14112</v>
      </c>
      <c r="D332" s="930">
        <v>13961.88</v>
      </c>
      <c r="E332">
        <v>0</v>
      </c>
      <c r="F332" s="930">
        <v>13961.88</v>
      </c>
      <c r="I332" s="929"/>
      <c r="J332" s="930"/>
      <c r="L332" s="930"/>
      <c r="M332" s="930"/>
      <c r="S332" s="930"/>
      <c r="U332" s="930"/>
    </row>
    <row r="333" spans="1:21" x14ac:dyDescent="0.2">
      <c r="A333">
        <v>1742200735</v>
      </c>
      <c r="B333" t="s">
        <v>643</v>
      </c>
      <c r="C333" s="929">
        <v>49113</v>
      </c>
      <c r="D333" s="930">
        <v>60751.35</v>
      </c>
      <c r="E333">
        <v>0</v>
      </c>
      <c r="F333" s="930">
        <v>60751.35</v>
      </c>
      <c r="G333" s="930"/>
      <c r="I333" s="929"/>
      <c r="J333" s="930"/>
      <c r="L333" s="930"/>
      <c r="M333" s="930"/>
      <c r="S333" s="930"/>
      <c r="U333" s="930"/>
    </row>
    <row r="334" spans="1:21" x14ac:dyDescent="0.2">
      <c r="A334">
        <v>1743000430</v>
      </c>
      <c r="B334" t="s">
        <v>646</v>
      </c>
      <c r="C334">
        <v>0</v>
      </c>
      <c r="D334">
        <v>0</v>
      </c>
      <c r="E334">
        <v>0</v>
      </c>
      <c r="F334">
        <v>0</v>
      </c>
    </row>
    <row r="335" spans="1:21" x14ac:dyDescent="0.2">
      <c r="A335">
        <v>1743000431</v>
      </c>
      <c r="B335" t="s">
        <v>644</v>
      </c>
      <c r="C335" s="929">
        <v>464814</v>
      </c>
      <c r="D335" s="930">
        <v>376080.15</v>
      </c>
      <c r="E335">
        <v>0</v>
      </c>
      <c r="F335" s="930">
        <v>376080.15</v>
      </c>
      <c r="G335" s="930"/>
      <c r="I335" s="929"/>
      <c r="J335" s="930"/>
      <c r="L335" s="930"/>
      <c r="M335" s="930"/>
      <c r="S335" s="930"/>
      <c r="U335" s="930"/>
    </row>
    <row r="336" spans="1:21" x14ac:dyDescent="0.2">
      <c r="A336">
        <v>1743000432</v>
      </c>
      <c r="B336" t="s">
        <v>646</v>
      </c>
      <c r="C336" s="929">
        <v>7497</v>
      </c>
      <c r="D336" s="930">
        <v>5629.8</v>
      </c>
      <c r="E336">
        <v>0</v>
      </c>
      <c r="F336" s="930">
        <v>5629.8</v>
      </c>
      <c r="G336" s="930"/>
      <c r="I336" s="929"/>
      <c r="J336" s="930"/>
      <c r="L336" s="930"/>
      <c r="M336" s="930"/>
      <c r="S336" s="930"/>
      <c r="U336" s="930"/>
    </row>
    <row r="337" spans="1:21" x14ac:dyDescent="0.2">
      <c r="A337">
        <v>1743000770</v>
      </c>
      <c r="B337" t="s">
        <v>2875</v>
      </c>
      <c r="C337">
        <v>0</v>
      </c>
      <c r="D337">
        <v>0</v>
      </c>
      <c r="E337">
        <v>0</v>
      </c>
      <c r="F337">
        <v>0</v>
      </c>
    </row>
    <row r="338" spans="1:21" x14ac:dyDescent="0.2">
      <c r="A338">
        <v>1744000720</v>
      </c>
      <c r="B338" t="s">
        <v>2876</v>
      </c>
      <c r="C338" s="929">
        <v>64500</v>
      </c>
      <c r="D338" s="930">
        <v>30500</v>
      </c>
      <c r="E338">
        <v>0</v>
      </c>
      <c r="F338" s="930">
        <v>30500</v>
      </c>
      <c r="G338" s="930"/>
      <c r="I338" s="929"/>
      <c r="J338" s="930"/>
      <c r="L338" s="930"/>
      <c r="M338" s="930"/>
      <c r="S338" s="930"/>
      <c r="U338" s="930"/>
    </row>
    <row r="339" spans="1:21" x14ac:dyDescent="0.2">
      <c r="A339">
        <v>1744000750</v>
      </c>
      <c r="B339" t="s">
        <v>2877</v>
      </c>
      <c r="C339">
        <v>0</v>
      </c>
      <c r="D339">
        <v>0</v>
      </c>
      <c r="E339">
        <v>0</v>
      </c>
      <c r="F339">
        <v>0</v>
      </c>
    </row>
    <row r="340" spans="1:21" x14ac:dyDescent="0.2">
      <c r="A340">
        <v>1745000810</v>
      </c>
      <c r="B340" t="s">
        <v>2878</v>
      </c>
      <c r="C340" s="929">
        <v>71649</v>
      </c>
      <c r="D340" s="930">
        <v>71677.5</v>
      </c>
      <c r="E340">
        <v>0</v>
      </c>
      <c r="F340" s="930">
        <v>71677.5</v>
      </c>
      <c r="I340" s="929"/>
      <c r="J340" s="930"/>
      <c r="L340" s="930"/>
      <c r="S340" s="930"/>
      <c r="U340" s="930"/>
    </row>
    <row r="341" spans="1:21" x14ac:dyDescent="0.2">
      <c r="A341">
        <v>1746000810</v>
      </c>
      <c r="B341" t="s">
        <v>2879</v>
      </c>
      <c r="C341">
        <v>0</v>
      </c>
      <c r="D341">
        <v>0</v>
      </c>
      <c r="E341">
        <v>0</v>
      </c>
      <c r="F341">
        <v>0</v>
      </c>
    </row>
    <row r="342" spans="1:21" x14ac:dyDescent="0.2">
      <c r="A342">
        <v>1748000430</v>
      </c>
      <c r="B342" t="s">
        <v>2880</v>
      </c>
      <c r="C342">
        <v>0</v>
      </c>
      <c r="D342">
        <v>0</v>
      </c>
      <c r="E342">
        <v>0</v>
      </c>
      <c r="F342">
        <v>0</v>
      </c>
    </row>
    <row r="343" spans="1:21" x14ac:dyDescent="0.2">
      <c r="A343">
        <v>1748000432</v>
      </c>
      <c r="B343" t="s">
        <v>649</v>
      </c>
      <c r="C343" s="929">
        <v>6750</v>
      </c>
      <c r="D343" s="930">
        <v>5267.9</v>
      </c>
      <c r="E343">
        <v>0</v>
      </c>
      <c r="F343" s="930">
        <v>5267.9</v>
      </c>
      <c r="G343" s="930"/>
      <c r="I343" s="929"/>
      <c r="J343" s="930"/>
      <c r="L343" s="930"/>
      <c r="M343" s="930"/>
      <c r="S343" s="930"/>
      <c r="U343" s="930"/>
    </row>
    <row r="344" spans="1:21" x14ac:dyDescent="0.2">
      <c r="A344">
        <v>1748000910</v>
      </c>
      <c r="B344" t="s">
        <v>2881</v>
      </c>
      <c r="C344" s="929">
        <v>187425</v>
      </c>
      <c r="D344" s="930">
        <v>106875</v>
      </c>
      <c r="E344">
        <v>0</v>
      </c>
      <c r="F344" s="930">
        <v>106875</v>
      </c>
      <c r="G344" s="930"/>
      <c r="I344" s="929"/>
      <c r="J344" s="930"/>
      <c r="L344" s="930"/>
      <c r="M344" s="930"/>
      <c r="S344" s="930"/>
      <c r="U344" s="930"/>
    </row>
    <row r="345" spans="1:21" x14ac:dyDescent="0.2">
      <c r="A345">
        <v>1751000720</v>
      </c>
      <c r="B345" t="s">
        <v>2882</v>
      </c>
      <c r="C345">
        <v>0</v>
      </c>
      <c r="D345">
        <v>0</v>
      </c>
      <c r="E345">
        <v>0</v>
      </c>
      <c r="F345">
        <v>0</v>
      </c>
    </row>
    <row r="346" spans="1:21" x14ac:dyDescent="0.2">
      <c r="A346">
        <v>1767000440</v>
      </c>
      <c r="B346" t="s">
        <v>2883</v>
      </c>
      <c r="C346" s="929">
        <v>286389</v>
      </c>
      <c r="D346" s="930">
        <v>289370.49</v>
      </c>
      <c r="E346">
        <v>0</v>
      </c>
      <c r="F346" s="930">
        <v>289370.49</v>
      </c>
      <c r="G346" s="930"/>
      <c r="I346" s="929"/>
      <c r="J346" s="930"/>
      <c r="L346" s="930"/>
      <c r="M346" s="930"/>
      <c r="S346" s="930"/>
      <c r="U346" s="930"/>
    </row>
    <row r="347" spans="1:21" x14ac:dyDescent="0.2">
      <c r="A347">
        <v>1767100440</v>
      </c>
      <c r="B347" t="s">
        <v>2884</v>
      </c>
      <c r="C347" s="929">
        <v>37485</v>
      </c>
      <c r="D347">
        <v>0</v>
      </c>
      <c r="E347">
        <v>0</v>
      </c>
      <c r="F347">
        <v>0</v>
      </c>
      <c r="G347" s="930"/>
      <c r="I347" s="929"/>
      <c r="M347" s="930"/>
    </row>
    <row r="348" spans="1:21" x14ac:dyDescent="0.2">
      <c r="A348">
        <v>1774000810</v>
      </c>
      <c r="B348" t="s">
        <v>2885</v>
      </c>
      <c r="C348" s="929">
        <v>122949</v>
      </c>
      <c r="D348">
        <v>0</v>
      </c>
      <c r="E348" s="930">
        <v>13000</v>
      </c>
      <c r="F348" s="930">
        <v>13000</v>
      </c>
      <c r="G348" s="930"/>
      <c r="I348" s="929"/>
      <c r="K348" s="930"/>
      <c r="L348" s="930"/>
      <c r="M348" s="930"/>
      <c r="S348" s="930"/>
      <c r="U348" s="930"/>
    </row>
    <row r="349" spans="1:21" x14ac:dyDescent="0.2">
      <c r="A349">
        <v>1811000110</v>
      </c>
      <c r="B349" t="s">
        <v>659</v>
      </c>
      <c r="C349" s="929">
        <v>247401</v>
      </c>
      <c r="D349" s="930">
        <v>212726.43</v>
      </c>
      <c r="E349">
        <v>0</v>
      </c>
      <c r="F349" s="930">
        <v>212726.43</v>
      </c>
      <c r="G349" s="930"/>
      <c r="I349" s="929"/>
      <c r="J349" s="930"/>
      <c r="L349" s="930"/>
      <c r="M349" s="930"/>
      <c r="S349" s="930"/>
      <c r="U349" s="930"/>
    </row>
    <row r="350" spans="1:21" x14ac:dyDescent="0.2">
      <c r="A350">
        <v>1811000470</v>
      </c>
      <c r="B350" t="s">
        <v>2886</v>
      </c>
      <c r="C350" s="929">
        <v>402200</v>
      </c>
      <c r="D350" s="930">
        <v>200644</v>
      </c>
      <c r="E350" s="930">
        <v>138791</v>
      </c>
      <c r="F350" s="930">
        <v>339435</v>
      </c>
      <c r="G350" s="930"/>
      <c r="I350" s="929"/>
      <c r="J350" s="930"/>
      <c r="K350" s="930"/>
      <c r="L350" s="930"/>
      <c r="M350" s="930"/>
      <c r="S350" s="930"/>
      <c r="U350" s="930"/>
    </row>
    <row r="351" spans="1:21" x14ac:dyDescent="0.2">
      <c r="A351">
        <v>1811000540</v>
      </c>
      <c r="B351" t="s">
        <v>2887</v>
      </c>
      <c r="C351" s="929">
        <v>11250</v>
      </c>
      <c r="D351" s="930">
        <v>5511.23</v>
      </c>
      <c r="E351">
        <v>0</v>
      </c>
      <c r="F351" s="930">
        <v>5511.23</v>
      </c>
      <c r="G351" s="930"/>
      <c r="I351" s="929"/>
      <c r="J351" s="930"/>
      <c r="L351" s="930"/>
      <c r="M351" s="930"/>
      <c r="S351" s="930"/>
      <c r="U351" s="930"/>
    </row>
    <row r="352" spans="1:21" x14ac:dyDescent="0.2">
      <c r="A352">
        <v>1811000570</v>
      </c>
      <c r="B352" t="s">
        <v>2049</v>
      </c>
      <c r="C352" s="929">
        <v>155666</v>
      </c>
      <c r="D352" s="930">
        <v>105665.9</v>
      </c>
      <c r="E352" s="930">
        <v>49998</v>
      </c>
      <c r="F352" s="930">
        <v>155663.9</v>
      </c>
      <c r="I352" s="929"/>
      <c r="J352" s="930"/>
      <c r="K352" s="930"/>
      <c r="L352" s="930"/>
      <c r="S352" s="930"/>
      <c r="U352" s="930"/>
    </row>
    <row r="353" spans="1:21" x14ac:dyDescent="0.2">
      <c r="A353">
        <v>1811000850</v>
      </c>
      <c r="B353" t="s">
        <v>2888</v>
      </c>
      <c r="C353">
        <v>0</v>
      </c>
      <c r="D353">
        <v>0</v>
      </c>
      <c r="E353">
        <v>0</v>
      </c>
      <c r="F353">
        <v>0</v>
      </c>
    </row>
    <row r="354" spans="1:21" x14ac:dyDescent="0.2">
      <c r="A354">
        <v>1811100820</v>
      </c>
      <c r="B354" t="s">
        <v>661</v>
      </c>
      <c r="C354" s="929">
        <v>205667</v>
      </c>
      <c r="D354" s="930">
        <v>156428</v>
      </c>
      <c r="E354" s="930">
        <v>63793</v>
      </c>
      <c r="F354" s="930">
        <v>220221</v>
      </c>
      <c r="G354" s="930"/>
      <c r="I354" s="929"/>
      <c r="J354" s="930"/>
      <c r="K354" s="930"/>
      <c r="L354" s="930"/>
      <c r="M354" s="930"/>
      <c r="S354" s="930"/>
      <c r="U354" s="930"/>
    </row>
    <row r="355" spans="1:21" x14ac:dyDescent="0.2">
      <c r="A355">
        <v>1811131820</v>
      </c>
      <c r="B355" t="s">
        <v>2889</v>
      </c>
      <c r="C355" s="929">
        <v>8226</v>
      </c>
      <c r="D355" s="930">
        <v>5484.87</v>
      </c>
      <c r="E355">
        <v>0</v>
      </c>
      <c r="F355" s="930">
        <v>5484.87</v>
      </c>
      <c r="G355" s="930"/>
      <c r="I355" s="929"/>
      <c r="J355" s="930"/>
      <c r="L355" s="930"/>
      <c r="M355" s="930"/>
      <c r="S355" s="930"/>
      <c r="U355" s="930"/>
    </row>
    <row r="356" spans="1:21" x14ac:dyDescent="0.2">
      <c r="A356">
        <v>1811140820</v>
      </c>
      <c r="B356" t="s">
        <v>2890</v>
      </c>
      <c r="C356">
        <v>0</v>
      </c>
      <c r="D356">
        <v>0</v>
      </c>
      <c r="E356">
        <v>0</v>
      </c>
      <c r="F356">
        <v>0</v>
      </c>
    </row>
    <row r="357" spans="1:21" x14ac:dyDescent="0.2">
      <c r="A357">
        <v>1811150820</v>
      </c>
      <c r="B357" t="s">
        <v>662</v>
      </c>
      <c r="C357" s="929">
        <v>59445</v>
      </c>
      <c r="D357" s="930">
        <v>39312</v>
      </c>
      <c r="E357">
        <v>0</v>
      </c>
      <c r="F357" s="930">
        <v>39312</v>
      </c>
      <c r="G357" s="930"/>
      <c r="I357" s="929"/>
      <c r="J357" s="930"/>
      <c r="L357" s="930"/>
      <c r="M357" s="930"/>
      <c r="S357" s="930"/>
      <c r="U357" s="930"/>
    </row>
    <row r="358" spans="1:21" x14ac:dyDescent="0.2">
      <c r="A358">
        <v>1811200820</v>
      </c>
      <c r="B358" t="s">
        <v>2891</v>
      </c>
      <c r="C358" s="929">
        <v>60723</v>
      </c>
      <c r="D358">
        <v>0</v>
      </c>
      <c r="E358">
        <v>0</v>
      </c>
      <c r="F358">
        <v>0</v>
      </c>
      <c r="G358" s="930"/>
      <c r="I358" s="929"/>
      <c r="M358" s="930"/>
    </row>
    <row r="359" spans="1:21" x14ac:dyDescent="0.2">
      <c r="A359">
        <v>1812200110</v>
      </c>
      <c r="B359" t="s">
        <v>665</v>
      </c>
      <c r="C359" s="929">
        <v>1503873</v>
      </c>
      <c r="D359" s="930">
        <v>1580815.16</v>
      </c>
      <c r="E359">
        <v>0</v>
      </c>
      <c r="F359" s="930">
        <v>1580815.16</v>
      </c>
      <c r="G359" s="930"/>
      <c r="I359" s="929"/>
      <c r="J359" s="930"/>
      <c r="L359" s="930"/>
      <c r="M359" s="930"/>
      <c r="S359" s="930"/>
      <c r="U359" s="930"/>
    </row>
    <row r="360" spans="1:21" x14ac:dyDescent="0.2">
      <c r="A360">
        <v>1812200720</v>
      </c>
      <c r="B360" t="s">
        <v>2892</v>
      </c>
      <c r="C360" s="929">
        <v>22491</v>
      </c>
      <c r="D360">
        <v>0</v>
      </c>
      <c r="E360">
        <v>0</v>
      </c>
      <c r="F360">
        <v>0</v>
      </c>
      <c r="G360" s="930"/>
      <c r="I360" s="929"/>
      <c r="M360" s="930"/>
    </row>
    <row r="361" spans="1:21" x14ac:dyDescent="0.2">
      <c r="A361">
        <v>1812200730</v>
      </c>
      <c r="B361" t="s">
        <v>2893</v>
      </c>
      <c r="C361">
        <v>0</v>
      </c>
      <c r="D361">
        <v>0</v>
      </c>
      <c r="E361">
        <v>0</v>
      </c>
      <c r="F361">
        <v>0</v>
      </c>
    </row>
    <row r="362" spans="1:21" x14ac:dyDescent="0.2">
      <c r="A362">
        <v>1812200740</v>
      </c>
      <c r="B362" t="s">
        <v>2894</v>
      </c>
      <c r="C362">
        <v>0</v>
      </c>
      <c r="D362">
        <v>0</v>
      </c>
      <c r="E362">
        <v>0</v>
      </c>
      <c r="F362">
        <v>0</v>
      </c>
    </row>
    <row r="363" spans="1:21" x14ac:dyDescent="0.2">
      <c r="A363">
        <v>1812200750</v>
      </c>
      <c r="B363" t="s">
        <v>667</v>
      </c>
      <c r="C363" s="929">
        <v>7497</v>
      </c>
      <c r="D363" s="930">
        <v>3900</v>
      </c>
      <c r="E363">
        <v>0</v>
      </c>
      <c r="F363" s="930">
        <v>3900</v>
      </c>
      <c r="G363" s="930"/>
      <c r="I363" s="929"/>
      <c r="J363" s="930"/>
      <c r="L363" s="930"/>
      <c r="M363" s="930"/>
      <c r="S363" s="930"/>
      <c r="U363" s="930"/>
    </row>
    <row r="364" spans="1:21" x14ac:dyDescent="0.2">
      <c r="A364">
        <v>1812201110</v>
      </c>
      <c r="B364" t="s">
        <v>2895</v>
      </c>
      <c r="C364" s="929">
        <v>347904</v>
      </c>
      <c r="D364" s="930">
        <v>256924.58</v>
      </c>
      <c r="E364">
        <v>0</v>
      </c>
      <c r="F364" s="930">
        <v>256924.58</v>
      </c>
      <c r="G364" s="930"/>
      <c r="I364" s="929"/>
      <c r="J364" s="930"/>
      <c r="L364" s="930"/>
      <c r="M364" s="930"/>
      <c r="S364" s="930"/>
      <c r="U364" s="930"/>
    </row>
    <row r="365" spans="1:21" x14ac:dyDescent="0.2">
      <c r="A365">
        <v>1812202110</v>
      </c>
      <c r="B365" t="s">
        <v>2896</v>
      </c>
      <c r="C365" s="929">
        <v>102033</v>
      </c>
      <c r="D365" s="930">
        <v>69818.16</v>
      </c>
      <c r="E365">
        <v>0</v>
      </c>
      <c r="F365" s="930">
        <v>69818.16</v>
      </c>
      <c r="G365" s="930"/>
      <c r="I365" s="929"/>
      <c r="J365" s="930"/>
      <c r="L365" s="930"/>
      <c r="M365" s="930"/>
      <c r="S365" s="930"/>
      <c r="U365" s="930"/>
    </row>
    <row r="366" spans="1:21" x14ac:dyDescent="0.2">
      <c r="A366">
        <v>1812203110</v>
      </c>
      <c r="B366" t="s">
        <v>2897</v>
      </c>
      <c r="C366" s="929">
        <v>263898</v>
      </c>
      <c r="D366" s="930">
        <v>184588.73</v>
      </c>
      <c r="E366">
        <v>0</v>
      </c>
      <c r="F366" s="930">
        <v>184588.73</v>
      </c>
      <c r="G366" s="930"/>
      <c r="I366" s="929"/>
      <c r="J366" s="930"/>
      <c r="L366" s="930"/>
      <c r="M366" s="930"/>
      <c r="S366" s="930"/>
      <c r="U366" s="930"/>
    </row>
    <row r="367" spans="1:21" x14ac:dyDescent="0.2">
      <c r="A367">
        <v>1812300410</v>
      </c>
      <c r="B367" t="s">
        <v>2898</v>
      </c>
      <c r="C367" s="929">
        <v>377847</v>
      </c>
      <c r="D367" s="930">
        <v>316282.5</v>
      </c>
      <c r="E367">
        <v>0</v>
      </c>
      <c r="F367" s="930">
        <v>316282.5</v>
      </c>
      <c r="G367" s="930"/>
      <c r="I367" s="929"/>
      <c r="J367" s="930"/>
      <c r="L367" s="930"/>
      <c r="M367" s="930"/>
      <c r="S367" s="930"/>
      <c r="U367" s="930"/>
    </row>
    <row r="368" spans="1:21" x14ac:dyDescent="0.2">
      <c r="A368">
        <v>1812300420</v>
      </c>
      <c r="B368" t="s">
        <v>672</v>
      </c>
      <c r="C368" s="929">
        <v>3753</v>
      </c>
      <c r="D368" s="930">
        <v>1050</v>
      </c>
      <c r="E368" s="930">
        <v>1000</v>
      </c>
      <c r="F368" s="930">
        <v>2050</v>
      </c>
      <c r="G368" s="930"/>
      <c r="I368" s="929"/>
      <c r="J368" s="930"/>
      <c r="K368" s="930"/>
      <c r="L368" s="930"/>
      <c r="M368" s="930"/>
      <c r="S368" s="930"/>
      <c r="U368" s="930"/>
    </row>
    <row r="369" spans="1:21" x14ac:dyDescent="0.2">
      <c r="A369">
        <v>1812300430</v>
      </c>
      <c r="B369" t="s">
        <v>2899</v>
      </c>
      <c r="C369">
        <v>0</v>
      </c>
      <c r="D369">
        <v>0</v>
      </c>
      <c r="E369">
        <v>0</v>
      </c>
      <c r="F369">
        <v>0</v>
      </c>
    </row>
    <row r="370" spans="1:21" x14ac:dyDescent="0.2">
      <c r="A370">
        <v>1812300431</v>
      </c>
      <c r="B370" t="s">
        <v>2900</v>
      </c>
      <c r="C370" s="929">
        <v>50004</v>
      </c>
      <c r="D370" s="930">
        <v>47022.6</v>
      </c>
      <c r="E370">
        <v>0</v>
      </c>
      <c r="F370" s="930">
        <v>47022.6</v>
      </c>
      <c r="G370" s="930"/>
      <c r="I370" s="929"/>
      <c r="J370" s="930"/>
      <c r="L370" s="930"/>
      <c r="M370" s="930"/>
      <c r="S370" s="930"/>
      <c r="U370" s="930"/>
    </row>
    <row r="371" spans="1:21" x14ac:dyDescent="0.2">
      <c r="A371">
        <v>1812300432</v>
      </c>
      <c r="B371" t="s">
        <v>2901</v>
      </c>
      <c r="C371" s="929">
        <v>29988</v>
      </c>
      <c r="D371" s="930">
        <v>18507.900000000001</v>
      </c>
      <c r="E371">
        <v>0</v>
      </c>
      <c r="F371" s="930">
        <v>18507.900000000001</v>
      </c>
      <c r="G371" s="930"/>
      <c r="I371" s="929"/>
      <c r="J371" s="930"/>
      <c r="L371" s="930"/>
      <c r="M371" s="930"/>
      <c r="S371" s="930"/>
      <c r="U371" s="930"/>
    </row>
    <row r="372" spans="1:21" x14ac:dyDescent="0.2">
      <c r="A372">
        <v>1812300470</v>
      </c>
      <c r="B372" t="s">
        <v>2902</v>
      </c>
      <c r="C372">
        <v>0</v>
      </c>
      <c r="D372">
        <v>0</v>
      </c>
      <c r="E372">
        <v>0</v>
      </c>
      <c r="F372">
        <v>0</v>
      </c>
    </row>
    <row r="373" spans="1:21" x14ac:dyDescent="0.2">
      <c r="A373">
        <v>1812300540</v>
      </c>
      <c r="B373" t="s">
        <v>2903</v>
      </c>
      <c r="C373" s="929">
        <v>38592</v>
      </c>
      <c r="D373" s="930">
        <v>19847.349999999999</v>
      </c>
      <c r="E373">
        <v>0</v>
      </c>
      <c r="F373" s="930">
        <v>19847.349999999999</v>
      </c>
      <c r="G373" s="930"/>
      <c r="I373" s="929"/>
      <c r="J373" s="930"/>
      <c r="L373" s="930"/>
      <c r="M373" s="930"/>
      <c r="S373" s="930"/>
      <c r="U373" s="930"/>
    </row>
    <row r="374" spans="1:21" x14ac:dyDescent="0.2">
      <c r="A374">
        <v>1812300820</v>
      </c>
      <c r="B374" t="s">
        <v>675</v>
      </c>
      <c r="C374" s="929">
        <v>62226</v>
      </c>
      <c r="D374" s="930">
        <v>58402</v>
      </c>
      <c r="E374">
        <v>0</v>
      </c>
      <c r="F374" s="930">
        <v>58402</v>
      </c>
      <c r="G374" s="930"/>
      <c r="I374" s="929"/>
      <c r="J374" s="930"/>
      <c r="L374" s="930"/>
      <c r="M374" s="930"/>
      <c r="S374" s="930"/>
      <c r="U374" s="930"/>
    </row>
    <row r="375" spans="1:21" x14ac:dyDescent="0.2">
      <c r="A375">
        <v>1812310443</v>
      </c>
      <c r="B375" t="s">
        <v>2904</v>
      </c>
      <c r="C375" s="929">
        <v>2204118</v>
      </c>
      <c r="D375" s="930">
        <v>2708381.39</v>
      </c>
      <c r="E375">
        <v>0</v>
      </c>
      <c r="F375" s="930">
        <v>2708381.39</v>
      </c>
      <c r="G375" s="930"/>
      <c r="I375" s="929"/>
      <c r="J375" s="930"/>
      <c r="L375" s="930"/>
      <c r="M375" s="930"/>
      <c r="S375" s="930"/>
      <c r="U375" s="930"/>
    </row>
    <row r="376" spans="1:21" x14ac:dyDescent="0.2">
      <c r="A376">
        <v>1812502110</v>
      </c>
      <c r="B376" t="s">
        <v>2905</v>
      </c>
      <c r="C376" s="929">
        <v>107955</v>
      </c>
      <c r="D376" s="930">
        <v>93193.5</v>
      </c>
      <c r="E376">
        <v>0</v>
      </c>
      <c r="F376" s="930">
        <v>93193.5</v>
      </c>
      <c r="G376" s="930"/>
      <c r="I376" s="929"/>
      <c r="J376" s="930"/>
      <c r="L376" s="930"/>
      <c r="M376" s="930"/>
      <c r="S376" s="930"/>
      <c r="U376" s="930"/>
    </row>
    <row r="377" spans="1:21" x14ac:dyDescent="0.2">
      <c r="A377">
        <v>1812502540</v>
      </c>
      <c r="B377" t="s">
        <v>2906</v>
      </c>
      <c r="C377">
        <v>0</v>
      </c>
      <c r="D377">
        <v>0</v>
      </c>
      <c r="E377">
        <v>0</v>
      </c>
      <c r="F377">
        <v>0</v>
      </c>
    </row>
    <row r="378" spans="1:21" x14ac:dyDescent="0.2">
      <c r="A378">
        <v>1812502780</v>
      </c>
      <c r="B378" t="s">
        <v>2907</v>
      </c>
      <c r="C378" s="929">
        <v>106371</v>
      </c>
      <c r="D378" s="930">
        <v>17446.009999999998</v>
      </c>
      <c r="E378" s="930">
        <v>26553.4</v>
      </c>
      <c r="F378" s="930">
        <v>43999.41</v>
      </c>
      <c r="G378" s="930"/>
      <c r="I378" s="929"/>
      <c r="J378" s="930"/>
      <c r="K378" s="930"/>
      <c r="L378" s="930"/>
      <c r="M378" s="930"/>
      <c r="S378" s="930"/>
      <c r="U378" s="930"/>
    </row>
    <row r="379" spans="1:21" x14ac:dyDescent="0.2">
      <c r="A379">
        <v>1812509780</v>
      </c>
      <c r="B379" t="s">
        <v>2908</v>
      </c>
      <c r="C379" s="929">
        <v>37935</v>
      </c>
      <c r="D379" s="930">
        <v>25300</v>
      </c>
      <c r="E379">
        <v>0</v>
      </c>
      <c r="F379" s="930">
        <v>25300</v>
      </c>
      <c r="G379" s="930"/>
      <c r="I379" s="929"/>
      <c r="J379" s="930"/>
      <c r="L379" s="930"/>
      <c r="M379" s="930"/>
      <c r="S379" s="930"/>
      <c r="U379" s="930"/>
    </row>
    <row r="380" spans="1:21" x14ac:dyDescent="0.2">
      <c r="A380">
        <v>1812510780</v>
      </c>
      <c r="B380" t="s">
        <v>2909</v>
      </c>
      <c r="C380">
        <v>0</v>
      </c>
      <c r="D380">
        <v>0</v>
      </c>
      <c r="E380">
        <v>0</v>
      </c>
      <c r="F380">
        <v>0</v>
      </c>
    </row>
    <row r="381" spans="1:21" x14ac:dyDescent="0.2">
      <c r="A381">
        <v>1812510820</v>
      </c>
      <c r="B381" t="s">
        <v>2910</v>
      </c>
      <c r="C381" s="929">
        <v>76644</v>
      </c>
      <c r="D381" s="930">
        <v>21598.49</v>
      </c>
      <c r="E381">
        <v>0</v>
      </c>
      <c r="F381" s="930">
        <v>21598.49</v>
      </c>
      <c r="G381" s="930"/>
      <c r="I381" s="929"/>
      <c r="J381" s="930"/>
      <c r="L381" s="930"/>
      <c r="M381" s="930"/>
      <c r="S381" s="930"/>
      <c r="U381" s="930"/>
    </row>
    <row r="382" spans="1:21" x14ac:dyDescent="0.2">
      <c r="A382">
        <v>1812512110</v>
      </c>
      <c r="B382" t="s">
        <v>2911</v>
      </c>
      <c r="C382" s="929">
        <v>97461</v>
      </c>
      <c r="D382" s="930">
        <v>35900.519999999997</v>
      </c>
      <c r="E382">
        <v>0</v>
      </c>
      <c r="F382" s="930">
        <v>35900.519999999997</v>
      </c>
      <c r="G382" s="930"/>
      <c r="I382" s="929"/>
      <c r="J382" s="930"/>
      <c r="L382" s="930"/>
      <c r="M382" s="930"/>
      <c r="S382" s="930"/>
      <c r="U382" s="930"/>
    </row>
    <row r="383" spans="1:21" x14ac:dyDescent="0.2">
      <c r="A383">
        <v>1812513110</v>
      </c>
      <c r="B383" t="s">
        <v>2912</v>
      </c>
      <c r="C383" s="929">
        <v>143946</v>
      </c>
      <c r="D383" s="930">
        <v>110611.33</v>
      </c>
      <c r="E383">
        <v>0</v>
      </c>
      <c r="F383" s="930">
        <v>110611.33</v>
      </c>
      <c r="G383" s="930"/>
      <c r="I383" s="929"/>
      <c r="J383" s="930"/>
      <c r="L383" s="930"/>
      <c r="M383" s="930"/>
      <c r="S383" s="930"/>
      <c r="U383" s="930"/>
    </row>
    <row r="384" spans="1:21" x14ac:dyDescent="0.2">
      <c r="A384">
        <v>1812513540</v>
      </c>
      <c r="B384" t="s">
        <v>2913</v>
      </c>
      <c r="C384">
        <v>0</v>
      </c>
      <c r="D384">
        <v>0</v>
      </c>
      <c r="E384">
        <v>0</v>
      </c>
      <c r="F384">
        <v>0</v>
      </c>
    </row>
    <row r="385" spans="1:21" x14ac:dyDescent="0.2">
      <c r="A385">
        <v>1812513780</v>
      </c>
      <c r="B385" t="s">
        <v>2913</v>
      </c>
      <c r="C385" s="929">
        <v>466145</v>
      </c>
      <c r="D385" s="930">
        <v>274860.82</v>
      </c>
      <c r="E385" s="930">
        <v>43000</v>
      </c>
      <c r="F385" s="930">
        <v>317860.82</v>
      </c>
      <c r="G385" s="930"/>
      <c r="I385" s="929"/>
      <c r="J385" s="930"/>
      <c r="K385" s="930"/>
      <c r="L385" s="930"/>
      <c r="M385" s="930"/>
      <c r="S385" s="930"/>
      <c r="U385" s="930"/>
    </row>
    <row r="386" spans="1:21" x14ac:dyDescent="0.2">
      <c r="A386">
        <v>1812515110</v>
      </c>
      <c r="B386" t="s">
        <v>683</v>
      </c>
      <c r="C386" s="929">
        <v>37935</v>
      </c>
      <c r="D386" s="930">
        <v>4355.75</v>
      </c>
      <c r="E386">
        <v>0</v>
      </c>
      <c r="F386" s="930">
        <v>4355.75</v>
      </c>
      <c r="G386" s="930"/>
      <c r="I386" s="929"/>
      <c r="J386" s="930"/>
      <c r="L386" s="930"/>
      <c r="M386" s="930"/>
      <c r="S386" s="930"/>
      <c r="U386" s="930"/>
    </row>
    <row r="387" spans="1:21" x14ac:dyDescent="0.2">
      <c r="A387">
        <v>1812515540</v>
      </c>
      <c r="B387" t="s">
        <v>683</v>
      </c>
      <c r="C387">
        <v>0</v>
      </c>
      <c r="D387">
        <v>0</v>
      </c>
      <c r="E387">
        <v>0</v>
      </c>
      <c r="F387">
        <v>0</v>
      </c>
    </row>
    <row r="388" spans="1:21" x14ac:dyDescent="0.2">
      <c r="A388">
        <v>1812517110</v>
      </c>
      <c r="B388" t="s">
        <v>2914</v>
      </c>
      <c r="C388">
        <v>0</v>
      </c>
      <c r="D388">
        <v>0</v>
      </c>
      <c r="E388">
        <v>0</v>
      </c>
      <c r="F388">
        <v>0</v>
      </c>
    </row>
    <row r="389" spans="1:21" x14ac:dyDescent="0.2">
      <c r="A389">
        <v>1812584820</v>
      </c>
      <c r="B389" t="s">
        <v>2915</v>
      </c>
      <c r="C389">
        <v>0</v>
      </c>
      <c r="D389">
        <v>0</v>
      </c>
      <c r="E389">
        <v>0</v>
      </c>
      <c r="F389">
        <v>0</v>
      </c>
    </row>
    <row r="390" spans="1:21" x14ac:dyDescent="0.2">
      <c r="A390">
        <v>1813200110</v>
      </c>
      <c r="B390" t="s">
        <v>687</v>
      </c>
      <c r="C390" s="929">
        <v>267642</v>
      </c>
      <c r="D390" s="930">
        <v>280680.59999999998</v>
      </c>
      <c r="E390">
        <v>0</v>
      </c>
      <c r="F390" s="930">
        <v>280680.59999999998</v>
      </c>
      <c r="G390" s="930"/>
      <c r="I390" s="929"/>
      <c r="J390" s="930"/>
      <c r="L390" s="930"/>
      <c r="M390" s="930"/>
      <c r="S390" s="930"/>
      <c r="U390" s="930"/>
    </row>
    <row r="391" spans="1:21" x14ac:dyDescent="0.2">
      <c r="A391">
        <v>1813200410</v>
      </c>
      <c r="B391" t="s">
        <v>2916</v>
      </c>
      <c r="C391">
        <v>0</v>
      </c>
      <c r="D391">
        <v>0</v>
      </c>
      <c r="E391">
        <v>0</v>
      </c>
      <c r="F391">
        <v>0</v>
      </c>
    </row>
    <row r="392" spans="1:21" x14ac:dyDescent="0.2">
      <c r="A392">
        <v>1813200430</v>
      </c>
      <c r="B392" t="s">
        <v>2917</v>
      </c>
      <c r="C392" s="929">
        <v>12942</v>
      </c>
      <c r="D392" s="930">
        <v>66675.7</v>
      </c>
      <c r="E392">
        <v>0</v>
      </c>
      <c r="F392" s="930">
        <v>66675.7</v>
      </c>
      <c r="G392" s="930"/>
      <c r="I392" s="929"/>
      <c r="J392" s="930"/>
      <c r="L392" s="930"/>
      <c r="M392" s="930"/>
      <c r="S392" s="930"/>
      <c r="U392" s="930"/>
    </row>
    <row r="393" spans="1:21" x14ac:dyDescent="0.2">
      <c r="A393">
        <v>1813200470</v>
      </c>
      <c r="B393" t="s">
        <v>2918</v>
      </c>
      <c r="C393" s="929">
        <v>14247</v>
      </c>
      <c r="D393" s="930">
        <v>12581.1</v>
      </c>
      <c r="E393">
        <v>0</v>
      </c>
      <c r="F393" s="930">
        <v>12581.1</v>
      </c>
      <c r="G393" s="930"/>
      <c r="I393" s="929"/>
      <c r="J393" s="930"/>
      <c r="L393" s="930"/>
      <c r="M393" s="930"/>
      <c r="S393" s="930"/>
      <c r="U393" s="930"/>
    </row>
    <row r="394" spans="1:21" x14ac:dyDescent="0.2">
      <c r="A394">
        <v>1813200540</v>
      </c>
      <c r="B394" t="s">
        <v>2919</v>
      </c>
      <c r="C394">
        <v>0</v>
      </c>
      <c r="D394" s="930">
        <v>1335.75</v>
      </c>
      <c r="E394">
        <v>0</v>
      </c>
      <c r="F394" s="930">
        <v>1335.75</v>
      </c>
      <c r="G394" s="930"/>
      <c r="J394" s="930"/>
      <c r="L394" s="930"/>
      <c r="M394" s="930"/>
      <c r="S394" s="930"/>
      <c r="U394" s="930"/>
    </row>
    <row r="395" spans="1:21" x14ac:dyDescent="0.2">
      <c r="A395">
        <v>1813200541</v>
      </c>
      <c r="B395" t="s">
        <v>2920</v>
      </c>
      <c r="C395">
        <v>0</v>
      </c>
      <c r="D395">
        <v>0</v>
      </c>
      <c r="E395">
        <v>0</v>
      </c>
      <c r="F395">
        <v>0</v>
      </c>
    </row>
    <row r="396" spans="1:21" x14ac:dyDescent="0.2">
      <c r="A396">
        <v>1813200740</v>
      </c>
      <c r="B396" t="s">
        <v>2921</v>
      </c>
      <c r="C396">
        <v>0</v>
      </c>
      <c r="D396">
        <v>0</v>
      </c>
      <c r="E396">
        <v>0</v>
      </c>
      <c r="F396">
        <v>0</v>
      </c>
    </row>
    <row r="397" spans="1:21" x14ac:dyDescent="0.2">
      <c r="A397">
        <v>1813200750</v>
      </c>
      <c r="B397" t="s">
        <v>2922</v>
      </c>
      <c r="C397" s="929">
        <v>100000</v>
      </c>
      <c r="D397" s="930">
        <v>41763.5</v>
      </c>
      <c r="E397" s="930">
        <v>55893.599999999999</v>
      </c>
      <c r="F397" s="930">
        <v>97657.1</v>
      </c>
      <c r="G397" s="930"/>
      <c r="I397" s="929"/>
      <c r="J397" s="930"/>
      <c r="K397" s="930"/>
      <c r="L397" s="930"/>
      <c r="M397" s="930"/>
      <c r="S397" s="930"/>
      <c r="U397" s="930"/>
    </row>
    <row r="398" spans="1:21" x14ac:dyDescent="0.2">
      <c r="A398">
        <v>1813200780</v>
      </c>
      <c r="B398" t="s">
        <v>2923</v>
      </c>
      <c r="C398" s="929">
        <v>55530</v>
      </c>
      <c r="D398" s="930">
        <v>16398.41</v>
      </c>
      <c r="E398">
        <v>0</v>
      </c>
      <c r="F398" s="930">
        <v>16398.41</v>
      </c>
      <c r="G398" s="930"/>
      <c r="I398" s="929"/>
      <c r="J398" s="930"/>
      <c r="L398" s="930"/>
      <c r="M398" s="930"/>
      <c r="S398" s="930"/>
      <c r="U398" s="930"/>
    </row>
    <row r="399" spans="1:21" x14ac:dyDescent="0.2">
      <c r="A399">
        <v>1813200910</v>
      </c>
      <c r="B399" t="s">
        <v>2862</v>
      </c>
      <c r="C399">
        <v>0</v>
      </c>
      <c r="D399">
        <v>0</v>
      </c>
      <c r="E399">
        <v>0</v>
      </c>
      <c r="F399">
        <v>0</v>
      </c>
    </row>
    <row r="400" spans="1:21" x14ac:dyDescent="0.2">
      <c r="A400">
        <v>1813201110</v>
      </c>
      <c r="B400" t="s">
        <v>694</v>
      </c>
      <c r="C400" s="929">
        <v>416835</v>
      </c>
      <c r="D400" s="930">
        <v>421857.97</v>
      </c>
      <c r="E400">
        <v>0</v>
      </c>
      <c r="F400" s="930">
        <v>421857.97</v>
      </c>
      <c r="G400" s="930"/>
      <c r="I400" s="929"/>
      <c r="J400" s="930"/>
      <c r="L400" s="930"/>
      <c r="M400" s="930"/>
      <c r="S400" s="930"/>
      <c r="U400" s="930"/>
    </row>
    <row r="401" spans="1:21" x14ac:dyDescent="0.2">
      <c r="A401">
        <v>1813202110</v>
      </c>
      <c r="B401" t="s">
        <v>2924</v>
      </c>
      <c r="C401" s="929">
        <v>685980</v>
      </c>
      <c r="D401" s="930">
        <v>609789.65</v>
      </c>
      <c r="E401">
        <v>0</v>
      </c>
      <c r="F401" s="930">
        <v>609789.65</v>
      </c>
      <c r="G401" s="930"/>
      <c r="I401" s="929"/>
      <c r="J401" s="930"/>
      <c r="L401" s="930"/>
      <c r="M401" s="930"/>
      <c r="S401" s="930"/>
      <c r="U401" s="930"/>
    </row>
    <row r="402" spans="1:21" x14ac:dyDescent="0.2">
      <c r="A402">
        <v>1813204110</v>
      </c>
      <c r="B402" t="s">
        <v>1551</v>
      </c>
      <c r="C402" s="929">
        <v>58473</v>
      </c>
      <c r="D402" s="930">
        <v>57885.51</v>
      </c>
      <c r="E402">
        <v>0</v>
      </c>
      <c r="F402" s="930">
        <v>57885.51</v>
      </c>
      <c r="I402" s="929"/>
      <c r="J402" s="930"/>
      <c r="L402" s="930"/>
      <c r="M402" s="930"/>
      <c r="S402" s="930"/>
      <c r="U402" s="930"/>
    </row>
    <row r="403" spans="1:21" x14ac:dyDescent="0.2">
      <c r="A403">
        <v>1813206414</v>
      </c>
      <c r="B403" t="s">
        <v>2925</v>
      </c>
      <c r="C403">
        <v>0</v>
      </c>
      <c r="D403">
        <v>0</v>
      </c>
      <c r="E403">
        <v>0</v>
      </c>
      <c r="F403">
        <v>0</v>
      </c>
    </row>
    <row r="404" spans="1:21" x14ac:dyDescent="0.2">
      <c r="A404">
        <v>1813210780</v>
      </c>
      <c r="B404" t="s">
        <v>2926</v>
      </c>
      <c r="C404" s="929">
        <v>181593</v>
      </c>
      <c r="D404" s="930">
        <v>158632</v>
      </c>
      <c r="E404">
        <v>0</v>
      </c>
      <c r="F404" s="930">
        <v>158632</v>
      </c>
      <c r="G404" s="930"/>
      <c r="I404" s="929"/>
      <c r="J404" s="930"/>
      <c r="L404" s="930"/>
      <c r="M404" s="930"/>
      <c r="S404" s="930"/>
      <c r="U404" s="930"/>
    </row>
    <row r="405" spans="1:21" x14ac:dyDescent="0.2">
      <c r="A405">
        <v>1813210820</v>
      </c>
      <c r="B405" t="s">
        <v>2927</v>
      </c>
      <c r="C405">
        <v>0</v>
      </c>
      <c r="D405">
        <v>0</v>
      </c>
      <c r="E405">
        <v>0</v>
      </c>
      <c r="F405">
        <v>0</v>
      </c>
    </row>
    <row r="406" spans="1:21" x14ac:dyDescent="0.2">
      <c r="A406">
        <v>1813220110</v>
      </c>
      <c r="B406" t="s">
        <v>2928</v>
      </c>
      <c r="C406">
        <v>0</v>
      </c>
      <c r="D406">
        <v>0</v>
      </c>
      <c r="E406">
        <v>0</v>
      </c>
      <c r="F406">
        <v>0</v>
      </c>
    </row>
    <row r="407" spans="1:21" x14ac:dyDescent="0.2">
      <c r="A407">
        <v>1813220780</v>
      </c>
      <c r="B407" t="s">
        <v>2929</v>
      </c>
      <c r="C407" s="929">
        <v>183573</v>
      </c>
      <c r="D407" s="930">
        <v>141312.70000000001</v>
      </c>
      <c r="E407">
        <v>0</v>
      </c>
      <c r="F407" s="930">
        <v>141312.70000000001</v>
      </c>
      <c r="G407" s="930"/>
      <c r="I407" s="929"/>
      <c r="J407" s="930"/>
      <c r="L407" s="930"/>
      <c r="M407" s="930"/>
      <c r="S407" s="930"/>
      <c r="U407" s="930"/>
    </row>
    <row r="408" spans="1:21" x14ac:dyDescent="0.2">
      <c r="A408">
        <v>1813221780</v>
      </c>
      <c r="B408" t="s">
        <v>2930</v>
      </c>
      <c r="C408" s="929">
        <v>119952</v>
      </c>
      <c r="D408" s="930">
        <v>105031</v>
      </c>
      <c r="E408">
        <v>0</v>
      </c>
      <c r="F408" s="930">
        <v>105031</v>
      </c>
      <c r="G408" s="930"/>
      <c r="I408" s="929"/>
      <c r="J408" s="930"/>
      <c r="L408" s="930"/>
      <c r="M408" s="930"/>
      <c r="S408" s="930"/>
      <c r="U408" s="930"/>
    </row>
    <row r="409" spans="1:21" x14ac:dyDescent="0.2">
      <c r="A409">
        <v>1813222780</v>
      </c>
      <c r="B409" t="s">
        <v>700</v>
      </c>
      <c r="C409" s="929">
        <v>182556</v>
      </c>
      <c r="D409" s="930">
        <v>166664.87</v>
      </c>
      <c r="E409">
        <v>0</v>
      </c>
      <c r="F409" s="930">
        <v>166664.87</v>
      </c>
      <c r="G409" s="930"/>
      <c r="I409" s="929"/>
      <c r="J409" s="930"/>
      <c r="L409" s="930"/>
      <c r="M409" s="930"/>
      <c r="S409" s="930"/>
      <c r="U409" s="930"/>
    </row>
    <row r="410" spans="1:21" x14ac:dyDescent="0.2">
      <c r="A410">
        <v>1813230414</v>
      </c>
      <c r="B410" t="s">
        <v>701</v>
      </c>
      <c r="C410">
        <v>0</v>
      </c>
      <c r="D410">
        <v>0</v>
      </c>
      <c r="E410">
        <v>0</v>
      </c>
      <c r="F410">
        <v>0</v>
      </c>
    </row>
    <row r="411" spans="1:21" x14ac:dyDescent="0.2">
      <c r="A411">
        <v>1813230820</v>
      </c>
      <c r="B411" t="s">
        <v>2931</v>
      </c>
      <c r="C411" s="929">
        <v>330075</v>
      </c>
      <c r="D411" s="930">
        <v>258165</v>
      </c>
      <c r="E411">
        <v>0</v>
      </c>
      <c r="F411" s="930">
        <v>258165</v>
      </c>
      <c r="G411" s="930"/>
      <c r="I411" s="929"/>
      <c r="J411" s="930"/>
      <c r="L411" s="930"/>
      <c r="M411" s="930"/>
      <c r="S411" s="930"/>
      <c r="U411" s="930"/>
    </row>
    <row r="412" spans="1:21" x14ac:dyDescent="0.2">
      <c r="A412">
        <v>1813300110</v>
      </c>
      <c r="B412" t="s">
        <v>2932</v>
      </c>
      <c r="C412" s="929">
        <v>447570</v>
      </c>
      <c r="D412" s="930">
        <v>444759.38</v>
      </c>
      <c r="E412">
        <v>0</v>
      </c>
      <c r="F412" s="930">
        <v>444759.38</v>
      </c>
      <c r="G412" s="930"/>
      <c r="I412" s="929"/>
      <c r="J412" s="930"/>
      <c r="L412" s="930"/>
      <c r="M412" s="930"/>
      <c r="S412" s="930"/>
      <c r="U412" s="930"/>
    </row>
    <row r="413" spans="1:21" x14ac:dyDescent="0.2">
      <c r="A413">
        <v>1813300432</v>
      </c>
      <c r="B413" t="s">
        <v>2933</v>
      </c>
      <c r="C413">
        <v>0</v>
      </c>
      <c r="D413">
        <v>0</v>
      </c>
      <c r="E413">
        <v>0</v>
      </c>
      <c r="F413">
        <v>0</v>
      </c>
    </row>
    <row r="414" spans="1:21" x14ac:dyDescent="0.2">
      <c r="A414">
        <v>1813310110</v>
      </c>
      <c r="B414" t="s">
        <v>2934</v>
      </c>
      <c r="C414" s="929">
        <v>235989</v>
      </c>
      <c r="D414" s="930">
        <v>367634.11</v>
      </c>
      <c r="E414">
        <v>0</v>
      </c>
      <c r="F414" s="930">
        <v>367634.11</v>
      </c>
      <c r="G414" s="930"/>
      <c r="I414" s="929"/>
      <c r="J414" s="930"/>
      <c r="L414" s="930"/>
      <c r="M414" s="930"/>
      <c r="S414" s="930"/>
      <c r="U414" s="930"/>
    </row>
    <row r="415" spans="1:21" x14ac:dyDescent="0.2">
      <c r="A415">
        <v>1813320110</v>
      </c>
      <c r="B415" t="s">
        <v>704</v>
      </c>
      <c r="C415" s="929">
        <v>474363</v>
      </c>
      <c r="D415" s="930">
        <v>509754.38</v>
      </c>
      <c r="E415">
        <v>0</v>
      </c>
      <c r="F415" s="930">
        <v>509754.38</v>
      </c>
      <c r="G415" s="930"/>
      <c r="I415" s="929"/>
      <c r="J415" s="930"/>
      <c r="L415" s="930"/>
      <c r="M415" s="930"/>
      <c r="S415" s="930"/>
      <c r="U415" s="930"/>
    </row>
    <row r="416" spans="1:21" x14ac:dyDescent="0.2">
      <c r="A416">
        <v>1813800750</v>
      </c>
      <c r="B416" t="s">
        <v>2935</v>
      </c>
      <c r="C416">
        <v>0</v>
      </c>
      <c r="D416">
        <v>0</v>
      </c>
      <c r="E416">
        <v>0</v>
      </c>
      <c r="F416">
        <v>0</v>
      </c>
    </row>
    <row r="417" spans="1:21" x14ac:dyDescent="0.2">
      <c r="A417">
        <v>1814000110</v>
      </c>
      <c r="B417" t="s">
        <v>2936</v>
      </c>
      <c r="C417" s="929">
        <v>773694</v>
      </c>
      <c r="D417" s="930">
        <v>807662.95</v>
      </c>
      <c r="E417">
        <v>0</v>
      </c>
      <c r="F417" s="930">
        <v>807662.95</v>
      </c>
      <c r="G417" s="930"/>
      <c r="I417" s="929"/>
      <c r="J417" s="930"/>
      <c r="L417" s="930"/>
      <c r="M417" s="930"/>
      <c r="S417" s="930"/>
      <c r="U417" s="930"/>
    </row>
    <row r="418" spans="1:21" x14ac:dyDescent="0.2">
      <c r="A418">
        <v>1814000410</v>
      </c>
      <c r="B418" t="s">
        <v>2937</v>
      </c>
      <c r="C418" s="929">
        <v>101214</v>
      </c>
      <c r="D418" s="930">
        <v>100872</v>
      </c>
      <c r="E418">
        <v>0</v>
      </c>
      <c r="F418" s="930">
        <v>100872</v>
      </c>
      <c r="I418" s="929"/>
      <c r="J418" s="930"/>
      <c r="L418" s="930"/>
      <c r="M418" s="930"/>
      <c r="S418" s="930"/>
      <c r="U418" s="930"/>
    </row>
    <row r="419" spans="1:21" x14ac:dyDescent="0.2">
      <c r="A419">
        <v>1814000431</v>
      </c>
      <c r="B419" t="s">
        <v>709</v>
      </c>
      <c r="C419" s="929">
        <v>33741</v>
      </c>
      <c r="D419" s="930">
        <v>34611.370000000003</v>
      </c>
      <c r="E419">
        <v>0</v>
      </c>
      <c r="F419" s="930">
        <v>34611.370000000003</v>
      </c>
      <c r="I419" s="929"/>
      <c r="J419" s="930"/>
      <c r="L419" s="930"/>
      <c r="M419" s="930"/>
      <c r="S419" s="930"/>
      <c r="U419" s="930"/>
    </row>
    <row r="420" spans="1:21" x14ac:dyDescent="0.2">
      <c r="A420">
        <v>1814000432</v>
      </c>
      <c r="B420" t="s">
        <v>710</v>
      </c>
      <c r="C420" s="929">
        <v>26244</v>
      </c>
      <c r="D420" s="930">
        <v>33078.9</v>
      </c>
      <c r="E420">
        <v>0</v>
      </c>
      <c r="F420" s="930">
        <v>33078.9</v>
      </c>
      <c r="G420" s="930"/>
      <c r="I420" s="929"/>
      <c r="J420" s="930"/>
      <c r="L420" s="930"/>
      <c r="M420" s="930"/>
      <c r="S420" s="930"/>
      <c r="U420" s="930"/>
    </row>
    <row r="421" spans="1:21" x14ac:dyDescent="0.2">
      <c r="A421">
        <v>1814000540</v>
      </c>
      <c r="B421" t="s">
        <v>2938</v>
      </c>
      <c r="C421" s="929">
        <v>2700</v>
      </c>
      <c r="D421" s="930">
        <v>2773.13</v>
      </c>
      <c r="E421">
        <v>0</v>
      </c>
      <c r="F421" s="930">
        <v>2773.13</v>
      </c>
      <c r="I421" s="929"/>
      <c r="J421" s="930"/>
      <c r="L421" s="930"/>
      <c r="S421" s="930"/>
      <c r="U421" s="930"/>
    </row>
    <row r="422" spans="1:21" x14ac:dyDescent="0.2">
      <c r="A422">
        <v>1814000820</v>
      </c>
      <c r="B422" t="s">
        <v>2939</v>
      </c>
      <c r="C422" s="929">
        <v>74970</v>
      </c>
      <c r="D422" s="930">
        <v>70000</v>
      </c>
      <c r="E422">
        <v>0</v>
      </c>
      <c r="F422" s="930">
        <v>70000</v>
      </c>
      <c r="G422" s="930"/>
      <c r="I422" s="929"/>
      <c r="J422" s="930"/>
      <c r="L422" s="930"/>
      <c r="M422" s="930"/>
      <c r="S422" s="930"/>
      <c r="U422" s="930"/>
    </row>
    <row r="423" spans="1:21" x14ac:dyDescent="0.2">
      <c r="A423">
        <v>1814100820</v>
      </c>
      <c r="B423" t="s">
        <v>2940</v>
      </c>
      <c r="C423">
        <v>0</v>
      </c>
      <c r="D423">
        <v>0</v>
      </c>
      <c r="E423">
        <v>0</v>
      </c>
      <c r="F423">
        <v>0</v>
      </c>
    </row>
    <row r="424" spans="1:21" x14ac:dyDescent="0.2">
      <c r="A424">
        <v>1814200740</v>
      </c>
      <c r="B424" t="s">
        <v>2941</v>
      </c>
      <c r="C424">
        <v>0</v>
      </c>
      <c r="D424">
        <v>0</v>
      </c>
      <c r="E424">
        <v>0</v>
      </c>
      <c r="F424">
        <v>0</v>
      </c>
    </row>
    <row r="425" spans="1:21" x14ac:dyDescent="0.2">
      <c r="A425">
        <v>1815100110</v>
      </c>
      <c r="B425" t="s">
        <v>2942</v>
      </c>
      <c r="C425">
        <v>0</v>
      </c>
      <c r="D425">
        <v>0</v>
      </c>
      <c r="E425">
        <v>0</v>
      </c>
      <c r="F425">
        <v>0</v>
      </c>
    </row>
    <row r="426" spans="1:21" x14ac:dyDescent="0.2">
      <c r="A426">
        <v>1815200110</v>
      </c>
      <c r="B426" t="s">
        <v>2943</v>
      </c>
      <c r="C426" s="929">
        <v>599760</v>
      </c>
      <c r="D426" s="930">
        <v>794038.48</v>
      </c>
      <c r="E426">
        <v>0</v>
      </c>
      <c r="F426" s="930">
        <v>794038.48</v>
      </c>
      <c r="G426" s="930"/>
      <c r="I426" s="929"/>
      <c r="J426" s="930"/>
      <c r="L426" s="930"/>
      <c r="M426" s="930"/>
      <c r="S426" s="930"/>
      <c r="U426" s="930"/>
    </row>
    <row r="427" spans="1:21" x14ac:dyDescent="0.2">
      <c r="A427">
        <v>1817100110</v>
      </c>
      <c r="B427" t="s">
        <v>2944</v>
      </c>
      <c r="C427" s="929">
        <v>44982</v>
      </c>
      <c r="D427" s="930">
        <v>47838.69</v>
      </c>
      <c r="E427">
        <v>0</v>
      </c>
      <c r="F427" s="930">
        <v>47838.69</v>
      </c>
      <c r="G427" s="930"/>
      <c r="I427" s="929"/>
      <c r="J427" s="930"/>
      <c r="L427" s="930"/>
      <c r="M427" s="930"/>
      <c r="S427" s="930"/>
      <c r="U427" s="930"/>
    </row>
    <row r="428" spans="1:21" x14ac:dyDescent="0.2">
      <c r="A428">
        <v>1817100750</v>
      </c>
      <c r="B428" t="s">
        <v>2945</v>
      </c>
      <c r="C428" s="929">
        <v>637173</v>
      </c>
      <c r="D428" s="930">
        <v>605606.43000000005</v>
      </c>
      <c r="E428">
        <v>0</v>
      </c>
      <c r="F428" s="930">
        <v>605606.43000000005</v>
      </c>
      <c r="G428" s="930"/>
      <c r="I428" s="929"/>
      <c r="J428" s="930"/>
      <c r="L428" s="930"/>
      <c r="M428" s="930"/>
      <c r="S428" s="930"/>
      <c r="U428" s="930"/>
    </row>
    <row r="429" spans="1:21" x14ac:dyDescent="0.2">
      <c r="A429">
        <v>1817120110</v>
      </c>
      <c r="B429" t="s">
        <v>1233</v>
      </c>
      <c r="C429" s="929">
        <v>34488</v>
      </c>
      <c r="D429" s="930">
        <v>16057.41</v>
      </c>
      <c r="E429">
        <v>0</v>
      </c>
      <c r="F429" s="930">
        <v>16057.41</v>
      </c>
      <c r="G429" s="930"/>
      <c r="I429" s="929"/>
      <c r="J429" s="930"/>
      <c r="L429" s="930"/>
      <c r="M429" s="930"/>
      <c r="S429" s="930"/>
      <c r="U429" s="930"/>
    </row>
    <row r="430" spans="1:21" x14ac:dyDescent="0.2">
      <c r="A430">
        <v>1817200110</v>
      </c>
      <c r="B430" t="s">
        <v>2946</v>
      </c>
      <c r="C430" s="929">
        <v>35982</v>
      </c>
      <c r="D430" s="930">
        <v>34755.65</v>
      </c>
      <c r="E430">
        <v>0</v>
      </c>
      <c r="F430" s="930">
        <v>34755.65</v>
      </c>
      <c r="G430" s="930"/>
      <c r="I430" s="929"/>
      <c r="J430" s="930"/>
      <c r="L430" s="930"/>
      <c r="M430" s="930"/>
      <c r="S430" s="930"/>
      <c r="U430" s="930"/>
    </row>
    <row r="431" spans="1:21" x14ac:dyDescent="0.2">
      <c r="A431">
        <v>1817230810</v>
      </c>
      <c r="B431" t="s">
        <v>2947</v>
      </c>
      <c r="C431" s="929">
        <v>14355</v>
      </c>
      <c r="D431" s="930">
        <v>9573.7999999999993</v>
      </c>
      <c r="E431">
        <v>0</v>
      </c>
      <c r="F431" s="930">
        <v>9573.7999999999993</v>
      </c>
      <c r="G431" s="930"/>
      <c r="I431" s="929"/>
      <c r="J431" s="930"/>
      <c r="L431" s="930"/>
      <c r="M431" s="930"/>
      <c r="S431" s="930"/>
      <c r="U431" s="930"/>
    </row>
    <row r="432" spans="1:21" x14ac:dyDescent="0.2">
      <c r="A432">
        <v>1817300110</v>
      </c>
      <c r="B432" t="s">
        <v>2948</v>
      </c>
      <c r="C432" s="929">
        <v>537237</v>
      </c>
      <c r="D432" s="930">
        <v>460034.7</v>
      </c>
      <c r="E432">
        <v>0</v>
      </c>
      <c r="F432" s="930">
        <v>460034.7</v>
      </c>
      <c r="G432" s="930"/>
      <c r="I432" s="929"/>
      <c r="J432" s="930"/>
      <c r="L432" s="930"/>
      <c r="M432" s="930"/>
      <c r="S432" s="930"/>
      <c r="U432" s="930"/>
    </row>
    <row r="433" spans="1:21" x14ac:dyDescent="0.2">
      <c r="A433">
        <v>1817300410</v>
      </c>
      <c r="B433" t="s">
        <v>725</v>
      </c>
      <c r="C433" s="929">
        <v>26991</v>
      </c>
      <c r="D433" s="930">
        <v>27000</v>
      </c>
      <c r="E433">
        <v>0</v>
      </c>
      <c r="F433" s="930">
        <v>27000</v>
      </c>
      <c r="I433" s="929"/>
      <c r="J433" s="930"/>
      <c r="L433" s="930"/>
      <c r="M433" s="930"/>
      <c r="S433" s="930"/>
      <c r="U433" s="930"/>
    </row>
    <row r="434" spans="1:21" x14ac:dyDescent="0.2">
      <c r="A434">
        <v>1817300430</v>
      </c>
      <c r="B434" t="s">
        <v>726</v>
      </c>
      <c r="C434">
        <v>0</v>
      </c>
      <c r="D434">
        <v>0</v>
      </c>
      <c r="E434">
        <v>0</v>
      </c>
      <c r="F434">
        <v>0</v>
      </c>
    </row>
    <row r="435" spans="1:21" x14ac:dyDescent="0.2">
      <c r="A435">
        <v>1817300431</v>
      </c>
      <c r="B435" t="s">
        <v>726</v>
      </c>
      <c r="C435" s="929">
        <v>3249</v>
      </c>
      <c r="D435" s="930">
        <v>2698</v>
      </c>
      <c r="E435">
        <v>0</v>
      </c>
      <c r="F435" s="930">
        <v>2698</v>
      </c>
      <c r="I435" s="929"/>
      <c r="J435" s="930"/>
      <c r="L435" s="930"/>
      <c r="M435" s="930"/>
      <c r="S435" s="930"/>
      <c r="U435" s="930"/>
    </row>
    <row r="436" spans="1:21" x14ac:dyDescent="0.2">
      <c r="A436">
        <v>1817300432</v>
      </c>
      <c r="B436" t="s">
        <v>2949</v>
      </c>
      <c r="C436" s="929">
        <v>2097</v>
      </c>
      <c r="D436">
        <v>392.9</v>
      </c>
      <c r="E436">
        <v>0</v>
      </c>
      <c r="F436">
        <v>392.9</v>
      </c>
      <c r="G436" s="930"/>
      <c r="I436" s="929"/>
      <c r="M436" s="930"/>
    </row>
    <row r="437" spans="1:21" x14ac:dyDescent="0.2">
      <c r="A437">
        <v>1817300470</v>
      </c>
      <c r="B437" t="s">
        <v>2950</v>
      </c>
      <c r="C437" s="929">
        <v>7000</v>
      </c>
      <c r="D437" s="930">
        <v>15270</v>
      </c>
      <c r="E437">
        <v>0</v>
      </c>
      <c r="F437" s="930">
        <v>15270</v>
      </c>
      <c r="G437" s="930"/>
      <c r="I437" s="929"/>
      <c r="J437" s="930"/>
      <c r="L437" s="930"/>
      <c r="M437" s="930"/>
      <c r="S437" s="930"/>
      <c r="U437" s="930"/>
    </row>
    <row r="438" spans="1:21" x14ac:dyDescent="0.2">
      <c r="A438">
        <v>1817300540</v>
      </c>
      <c r="B438" t="s">
        <v>2951</v>
      </c>
      <c r="C438" s="929">
        <v>7497</v>
      </c>
      <c r="D438" s="930">
        <v>3201.28</v>
      </c>
      <c r="E438">
        <v>0</v>
      </c>
      <c r="F438" s="930">
        <v>3201.28</v>
      </c>
      <c r="G438" s="930"/>
      <c r="I438" s="929"/>
      <c r="J438" s="930"/>
      <c r="L438" s="930"/>
      <c r="M438" s="930"/>
      <c r="S438" s="930"/>
      <c r="U438" s="930"/>
    </row>
    <row r="439" spans="1:21" x14ac:dyDescent="0.2">
      <c r="A439">
        <v>1817300720</v>
      </c>
      <c r="B439" t="s">
        <v>2952</v>
      </c>
      <c r="C439">
        <v>0</v>
      </c>
      <c r="D439">
        <v>0</v>
      </c>
      <c r="E439">
        <v>0</v>
      </c>
      <c r="F439">
        <v>0</v>
      </c>
    </row>
    <row r="440" spans="1:21" x14ac:dyDescent="0.2">
      <c r="A440">
        <v>1817300780</v>
      </c>
      <c r="B440" t="s">
        <v>730</v>
      </c>
      <c r="C440" s="929">
        <v>32040</v>
      </c>
      <c r="D440" s="930">
        <v>21370</v>
      </c>
      <c r="E440">
        <v>0</v>
      </c>
      <c r="F440" s="930">
        <v>21370</v>
      </c>
      <c r="G440" s="930"/>
      <c r="I440" s="929"/>
      <c r="J440" s="930"/>
      <c r="L440" s="930"/>
      <c r="M440" s="930"/>
      <c r="S440" s="930"/>
      <c r="U440" s="930"/>
    </row>
    <row r="441" spans="1:21" x14ac:dyDescent="0.2">
      <c r="A441">
        <v>1817500440</v>
      </c>
      <c r="B441" t="s">
        <v>2028</v>
      </c>
      <c r="C441" s="929">
        <v>98964</v>
      </c>
      <c r="D441" s="930">
        <v>91874.97</v>
      </c>
      <c r="E441">
        <v>0</v>
      </c>
      <c r="F441" s="930">
        <v>91874.97</v>
      </c>
      <c r="G441" s="930"/>
      <c r="I441" s="929"/>
      <c r="J441" s="930"/>
      <c r="L441" s="930"/>
      <c r="M441" s="930"/>
      <c r="S441" s="930"/>
      <c r="U441" s="930"/>
    </row>
    <row r="442" spans="1:21" x14ac:dyDescent="0.2">
      <c r="A442">
        <v>1817600110</v>
      </c>
      <c r="B442" t="s">
        <v>2953</v>
      </c>
      <c r="C442" s="929">
        <v>176418</v>
      </c>
      <c r="D442" s="930">
        <v>175150.62</v>
      </c>
      <c r="E442">
        <v>0</v>
      </c>
      <c r="F442" s="930">
        <v>175150.62</v>
      </c>
      <c r="G442" s="930"/>
      <c r="I442" s="929"/>
      <c r="J442" s="930"/>
      <c r="L442" s="930"/>
      <c r="M442" s="930"/>
      <c r="S442" s="930"/>
      <c r="U442" s="930"/>
    </row>
    <row r="443" spans="1:21" x14ac:dyDescent="0.2">
      <c r="A443">
        <v>1817600410</v>
      </c>
      <c r="B443" t="s">
        <v>2954</v>
      </c>
      <c r="C443">
        <v>0</v>
      </c>
      <c r="D443">
        <v>0</v>
      </c>
      <c r="E443">
        <v>0</v>
      </c>
      <c r="F443">
        <v>0</v>
      </c>
    </row>
    <row r="444" spans="1:21" x14ac:dyDescent="0.2">
      <c r="A444">
        <v>1817600430</v>
      </c>
      <c r="B444" t="s">
        <v>734</v>
      </c>
      <c r="C444" s="929">
        <v>2250</v>
      </c>
      <c r="D444">
        <v>0</v>
      </c>
      <c r="E444">
        <v>0</v>
      </c>
      <c r="F444">
        <v>0</v>
      </c>
      <c r="G444" s="930"/>
      <c r="I444" s="929"/>
      <c r="M444" s="930"/>
    </row>
    <row r="445" spans="1:21" x14ac:dyDescent="0.2">
      <c r="A445">
        <v>1817600511</v>
      </c>
      <c r="B445" t="s">
        <v>2955</v>
      </c>
      <c r="C445" s="929">
        <v>16193</v>
      </c>
      <c r="D445" s="930">
        <v>2541.15</v>
      </c>
      <c r="E445" s="930">
        <v>9358.85</v>
      </c>
      <c r="F445" s="930">
        <v>11900</v>
      </c>
      <c r="G445" s="930"/>
      <c r="I445" s="929"/>
      <c r="J445" s="930"/>
      <c r="K445" s="930"/>
      <c r="L445" s="930"/>
      <c r="M445" s="930"/>
      <c r="S445" s="930"/>
      <c r="U445" s="930"/>
    </row>
    <row r="446" spans="1:21" x14ac:dyDescent="0.2">
      <c r="A446">
        <v>1817600720</v>
      </c>
      <c r="B446" t="s">
        <v>735</v>
      </c>
      <c r="C446">
        <v>0</v>
      </c>
      <c r="D446">
        <v>0</v>
      </c>
      <c r="E446">
        <v>0</v>
      </c>
      <c r="F446">
        <v>0</v>
      </c>
    </row>
    <row r="447" spans="1:21" x14ac:dyDescent="0.2">
      <c r="A447">
        <v>1817700110</v>
      </c>
      <c r="B447" t="s">
        <v>736</v>
      </c>
      <c r="C447" s="929">
        <v>77373</v>
      </c>
      <c r="D447" s="930">
        <v>48685.33</v>
      </c>
      <c r="E447">
        <v>0</v>
      </c>
      <c r="F447" s="930">
        <v>48685.33</v>
      </c>
      <c r="G447" s="930"/>
      <c r="I447" s="929"/>
      <c r="J447" s="930"/>
      <c r="L447" s="930"/>
      <c r="M447" s="930"/>
      <c r="S447" s="930"/>
      <c r="U447" s="930"/>
    </row>
    <row r="448" spans="1:21" x14ac:dyDescent="0.2">
      <c r="A448">
        <v>1817800110</v>
      </c>
      <c r="B448" t="s">
        <v>2956</v>
      </c>
      <c r="C448" s="929">
        <v>128952</v>
      </c>
      <c r="D448" s="930">
        <v>201329.85</v>
      </c>
      <c r="E448">
        <v>0</v>
      </c>
      <c r="F448" s="930">
        <v>201329.85</v>
      </c>
      <c r="G448" s="930"/>
      <c r="I448" s="929"/>
      <c r="J448" s="930"/>
      <c r="L448" s="930"/>
      <c r="M448" s="930"/>
      <c r="S448" s="930"/>
      <c r="U448" s="930"/>
    </row>
    <row r="449" spans="1:21" x14ac:dyDescent="0.2">
      <c r="A449">
        <v>1817800700</v>
      </c>
      <c r="B449" t="s">
        <v>2957</v>
      </c>
      <c r="C449" s="929">
        <v>40482</v>
      </c>
      <c r="D449" s="930">
        <v>27000</v>
      </c>
      <c r="E449">
        <v>0</v>
      </c>
      <c r="F449" s="930">
        <v>27000</v>
      </c>
      <c r="G449" s="930"/>
      <c r="I449" s="929"/>
      <c r="J449" s="930"/>
      <c r="L449" s="930"/>
      <c r="M449" s="930"/>
      <c r="S449" s="930"/>
      <c r="U449" s="930"/>
    </row>
    <row r="450" spans="1:21" x14ac:dyDescent="0.2">
      <c r="A450">
        <v>1817800710</v>
      </c>
      <c r="B450" t="s">
        <v>2958</v>
      </c>
      <c r="C450" s="929">
        <v>1106559</v>
      </c>
      <c r="D450" s="930">
        <v>774286.18</v>
      </c>
      <c r="E450">
        <v>0</v>
      </c>
      <c r="F450" s="930">
        <v>774286.18</v>
      </c>
      <c r="G450" s="930"/>
      <c r="I450" s="929"/>
      <c r="J450" s="930"/>
      <c r="L450" s="930"/>
      <c r="M450" s="930"/>
      <c r="S450" s="930"/>
      <c r="U450" s="930"/>
    </row>
    <row r="451" spans="1:21" x14ac:dyDescent="0.2">
      <c r="A451">
        <v>1817800711</v>
      </c>
      <c r="B451" t="s">
        <v>2959</v>
      </c>
      <c r="C451" s="929">
        <v>1119303</v>
      </c>
      <c r="D451" s="930">
        <v>953562.45</v>
      </c>
      <c r="E451">
        <v>0</v>
      </c>
      <c r="F451" s="930">
        <v>953562.45</v>
      </c>
      <c r="G451" s="930"/>
      <c r="I451" s="929"/>
      <c r="J451" s="930"/>
      <c r="L451" s="930"/>
      <c r="M451" s="930"/>
      <c r="S451" s="930"/>
      <c r="U451" s="930"/>
    </row>
    <row r="452" spans="1:21" x14ac:dyDescent="0.2">
      <c r="A452">
        <v>1817900430</v>
      </c>
      <c r="B452" t="s">
        <v>2960</v>
      </c>
      <c r="C452">
        <v>0</v>
      </c>
      <c r="D452">
        <v>0</v>
      </c>
      <c r="E452">
        <v>0</v>
      </c>
      <c r="F452">
        <v>0</v>
      </c>
    </row>
    <row r="453" spans="1:21" x14ac:dyDescent="0.2">
      <c r="A453">
        <v>1817900431</v>
      </c>
      <c r="B453" t="s">
        <v>2961</v>
      </c>
      <c r="C453" s="929">
        <v>1881</v>
      </c>
      <c r="D453" s="930">
        <v>1652.63</v>
      </c>
      <c r="E453">
        <v>0</v>
      </c>
      <c r="F453" s="930">
        <v>1652.63</v>
      </c>
      <c r="I453" s="929"/>
      <c r="J453" s="930"/>
      <c r="L453" s="930"/>
      <c r="S453" s="930"/>
      <c r="U453" s="930"/>
    </row>
    <row r="454" spans="1:21" x14ac:dyDescent="0.2">
      <c r="A454">
        <v>1817900432</v>
      </c>
      <c r="B454" t="s">
        <v>2962</v>
      </c>
      <c r="C454" s="929">
        <v>2997</v>
      </c>
      <c r="D454">
        <v>0</v>
      </c>
      <c r="E454">
        <v>0</v>
      </c>
      <c r="F454">
        <v>0</v>
      </c>
      <c r="G454" s="930"/>
      <c r="I454" s="929"/>
      <c r="M454" s="930"/>
    </row>
    <row r="455" spans="1:21" x14ac:dyDescent="0.2">
      <c r="A455">
        <v>1817900540</v>
      </c>
      <c r="B455" t="s">
        <v>2963</v>
      </c>
      <c r="C455" s="929">
        <v>1125</v>
      </c>
      <c r="D455">
        <v>522.45000000000005</v>
      </c>
      <c r="E455">
        <v>0</v>
      </c>
      <c r="F455">
        <v>522.45000000000005</v>
      </c>
      <c r="I455" s="929"/>
    </row>
    <row r="456" spans="1:21" x14ac:dyDescent="0.2">
      <c r="A456">
        <v>1817900720</v>
      </c>
      <c r="B456" t="s">
        <v>2964</v>
      </c>
      <c r="C456" s="929">
        <v>68500</v>
      </c>
      <c r="D456" s="930">
        <v>62642.16</v>
      </c>
      <c r="E456">
        <v>87.18</v>
      </c>
      <c r="F456" s="930">
        <v>62729.34</v>
      </c>
      <c r="G456" s="930"/>
      <c r="I456" s="929"/>
      <c r="J456" s="930"/>
      <c r="L456" s="930"/>
      <c r="M456" s="930"/>
      <c r="S456" s="930"/>
      <c r="U456" s="930"/>
    </row>
    <row r="457" spans="1:21" x14ac:dyDescent="0.2">
      <c r="A457">
        <v>1817900810</v>
      </c>
      <c r="B457" t="s">
        <v>2965</v>
      </c>
      <c r="C457" s="929">
        <v>12744</v>
      </c>
      <c r="D457">
        <v>0</v>
      </c>
      <c r="E457">
        <v>0</v>
      </c>
      <c r="F457">
        <v>0</v>
      </c>
      <c r="G457" s="930"/>
      <c r="I457" s="929"/>
      <c r="M457" s="930"/>
    </row>
    <row r="458" spans="1:21" x14ac:dyDescent="0.2">
      <c r="A458">
        <v>1817901800</v>
      </c>
      <c r="B458" t="s">
        <v>745</v>
      </c>
      <c r="C458" s="929">
        <v>26595</v>
      </c>
      <c r="D458" s="930">
        <v>17735</v>
      </c>
      <c r="E458">
        <v>0</v>
      </c>
      <c r="F458" s="930">
        <v>17735</v>
      </c>
      <c r="G458" s="930"/>
      <c r="I458" s="929"/>
      <c r="J458" s="930"/>
      <c r="L458" s="930"/>
      <c r="M458" s="930"/>
      <c r="S458" s="930"/>
      <c r="U458" s="930"/>
    </row>
    <row r="459" spans="1:21" x14ac:dyDescent="0.2">
      <c r="A459">
        <v>1817910110</v>
      </c>
      <c r="B459" t="s">
        <v>2966</v>
      </c>
      <c r="C459" s="929">
        <v>105408</v>
      </c>
      <c r="D459" s="930">
        <v>103740.87</v>
      </c>
      <c r="E459">
        <v>0</v>
      </c>
      <c r="F459" s="930">
        <v>103740.87</v>
      </c>
      <c r="G459" s="930"/>
      <c r="I459" s="929"/>
      <c r="J459" s="930"/>
      <c r="L459" s="930"/>
      <c r="M459" s="930"/>
      <c r="S459" s="930"/>
      <c r="U459" s="930"/>
    </row>
    <row r="460" spans="1:21" x14ac:dyDescent="0.2">
      <c r="A460">
        <v>1817910410</v>
      </c>
      <c r="B460" t="s">
        <v>2967</v>
      </c>
      <c r="C460" s="929">
        <v>17991</v>
      </c>
      <c r="D460" s="930">
        <v>18000</v>
      </c>
      <c r="E460">
        <v>0</v>
      </c>
      <c r="F460" s="930">
        <v>18000</v>
      </c>
      <c r="I460" s="929"/>
      <c r="J460" s="930"/>
      <c r="L460" s="930"/>
      <c r="M460" s="930"/>
      <c r="S460" s="930"/>
      <c r="U460" s="930"/>
    </row>
    <row r="461" spans="1:21" x14ac:dyDescent="0.2">
      <c r="A461">
        <v>1818810810</v>
      </c>
      <c r="B461" t="s">
        <v>750</v>
      </c>
      <c r="C461" s="929">
        <v>26685</v>
      </c>
      <c r="D461" s="930">
        <v>18000</v>
      </c>
      <c r="E461">
        <v>0</v>
      </c>
      <c r="F461" s="930">
        <v>18000</v>
      </c>
      <c r="G461" s="930"/>
      <c r="I461" s="929"/>
      <c r="J461" s="930"/>
      <c r="L461" s="930"/>
      <c r="M461" s="930"/>
      <c r="S461" s="930"/>
      <c r="U461" s="930"/>
    </row>
    <row r="462" spans="1:21" x14ac:dyDescent="0.2">
      <c r="A462">
        <v>1818811700</v>
      </c>
      <c r="B462" t="s">
        <v>2968</v>
      </c>
      <c r="C462" s="929">
        <v>380520</v>
      </c>
      <c r="D462" s="930">
        <v>380520</v>
      </c>
      <c r="E462">
        <v>0</v>
      </c>
      <c r="F462" s="930">
        <v>380520</v>
      </c>
      <c r="I462" s="929"/>
      <c r="J462" s="930"/>
      <c r="L462" s="930"/>
      <c r="S462" s="930"/>
      <c r="U462" s="930"/>
    </row>
    <row r="463" spans="1:21" x14ac:dyDescent="0.2">
      <c r="A463">
        <v>1818870110</v>
      </c>
      <c r="B463" t="s">
        <v>2969</v>
      </c>
      <c r="C463">
        <v>0</v>
      </c>
      <c r="D463">
        <v>0</v>
      </c>
      <c r="E463">
        <v>0</v>
      </c>
      <c r="F463">
        <v>0</v>
      </c>
    </row>
    <row r="464" spans="1:21" x14ac:dyDescent="0.2">
      <c r="A464">
        <v>1819000110</v>
      </c>
      <c r="B464" t="s">
        <v>752</v>
      </c>
      <c r="C464" s="929">
        <v>309627</v>
      </c>
      <c r="D464" s="930">
        <v>286336.28000000003</v>
      </c>
      <c r="E464">
        <v>0</v>
      </c>
      <c r="F464" s="930">
        <v>286336.28000000003</v>
      </c>
      <c r="G464" s="930"/>
      <c r="I464" s="929"/>
      <c r="J464" s="930"/>
      <c r="L464" s="930"/>
      <c r="M464" s="930"/>
      <c r="S464" s="930"/>
      <c r="U464" s="930"/>
    </row>
    <row r="465" spans="1:21" x14ac:dyDescent="0.2">
      <c r="A465">
        <v>1819000820</v>
      </c>
      <c r="B465" t="s">
        <v>2970</v>
      </c>
      <c r="C465" s="929">
        <v>44982</v>
      </c>
      <c r="D465" s="930">
        <v>39998.720000000001</v>
      </c>
      <c r="E465">
        <v>0</v>
      </c>
      <c r="F465" s="930">
        <v>39998.720000000001</v>
      </c>
      <c r="G465" s="930"/>
      <c r="I465" s="929"/>
      <c r="J465" s="930"/>
      <c r="L465" s="930"/>
      <c r="M465" s="930"/>
      <c r="S465" s="930"/>
      <c r="U465" s="930"/>
    </row>
    <row r="466" spans="1:21" x14ac:dyDescent="0.2">
      <c r="A466">
        <v>1819999110</v>
      </c>
      <c r="B466" t="s">
        <v>2971</v>
      </c>
      <c r="C466">
        <v>0</v>
      </c>
      <c r="D466">
        <v>0</v>
      </c>
      <c r="E466">
        <v>0</v>
      </c>
      <c r="F466">
        <v>0</v>
      </c>
    </row>
    <row r="467" spans="1:21" x14ac:dyDescent="0.2">
      <c r="A467">
        <v>1821000110</v>
      </c>
      <c r="B467" t="s">
        <v>2972</v>
      </c>
      <c r="C467">
        <v>0</v>
      </c>
      <c r="D467">
        <v>0</v>
      </c>
      <c r="E467">
        <v>0</v>
      </c>
      <c r="F467">
        <v>0</v>
      </c>
    </row>
    <row r="468" spans="1:21" x14ac:dyDescent="0.2">
      <c r="A468">
        <v>1822000760</v>
      </c>
      <c r="B468" t="s">
        <v>2973</v>
      </c>
      <c r="C468" s="929">
        <v>7497</v>
      </c>
      <c r="D468">
        <v>0</v>
      </c>
      <c r="E468">
        <v>0</v>
      </c>
      <c r="F468">
        <v>0</v>
      </c>
      <c r="G468" s="930"/>
      <c r="I468" s="929"/>
      <c r="M468" s="930"/>
    </row>
    <row r="469" spans="1:21" x14ac:dyDescent="0.2">
      <c r="A469">
        <v>1822000780</v>
      </c>
      <c r="B469" t="s">
        <v>2974</v>
      </c>
      <c r="C469" s="929">
        <v>162000</v>
      </c>
      <c r="D469" s="930">
        <v>109515</v>
      </c>
      <c r="E469" s="930">
        <v>4000</v>
      </c>
      <c r="F469" s="930">
        <v>113515</v>
      </c>
      <c r="G469" s="930"/>
      <c r="I469" s="929"/>
      <c r="J469" s="930"/>
      <c r="K469" s="930"/>
      <c r="L469" s="930"/>
      <c r="M469" s="930"/>
      <c r="S469" s="930"/>
      <c r="U469" s="930"/>
    </row>
    <row r="470" spans="1:21" x14ac:dyDescent="0.2">
      <c r="A470">
        <v>1823000110</v>
      </c>
      <c r="B470" t="s">
        <v>2975</v>
      </c>
      <c r="C470" s="929">
        <v>61479</v>
      </c>
      <c r="D470" s="930">
        <v>56841.98</v>
      </c>
      <c r="E470">
        <v>0</v>
      </c>
      <c r="F470" s="930">
        <v>56841.98</v>
      </c>
      <c r="G470" s="930"/>
      <c r="I470" s="929"/>
      <c r="J470" s="930"/>
      <c r="L470" s="930"/>
      <c r="M470" s="930"/>
      <c r="S470" s="930"/>
      <c r="U470" s="930"/>
    </row>
    <row r="471" spans="1:21" x14ac:dyDescent="0.2">
      <c r="A471">
        <v>1823000780</v>
      </c>
      <c r="B471" t="s">
        <v>2794</v>
      </c>
      <c r="C471" s="929">
        <v>59976</v>
      </c>
      <c r="D471">
        <v>0</v>
      </c>
      <c r="E471">
        <v>0</v>
      </c>
      <c r="F471">
        <v>0</v>
      </c>
      <c r="G471" s="930"/>
      <c r="I471" s="929"/>
      <c r="M471" s="930"/>
    </row>
    <row r="472" spans="1:21" x14ac:dyDescent="0.2">
      <c r="A472">
        <v>1824000110</v>
      </c>
      <c r="B472" t="s">
        <v>2976</v>
      </c>
      <c r="C472" s="929">
        <v>116208</v>
      </c>
      <c r="D472" s="930">
        <v>83909.24</v>
      </c>
      <c r="E472">
        <v>0</v>
      </c>
      <c r="F472" s="930">
        <v>83909.24</v>
      </c>
      <c r="G472" s="930"/>
      <c r="I472" s="929"/>
      <c r="J472" s="930"/>
      <c r="L472" s="930"/>
      <c r="M472" s="930"/>
      <c r="S472" s="930"/>
      <c r="U472" s="930"/>
    </row>
    <row r="473" spans="1:21" x14ac:dyDescent="0.2">
      <c r="A473">
        <v>1824000410</v>
      </c>
      <c r="B473" t="s">
        <v>2977</v>
      </c>
      <c r="C473">
        <v>0</v>
      </c>
      <c r="D473">
        <v>0</v>
      </c>
      <c r="E473">
        <v>0</v>
      </c>
      <c r="F473">
        <v>0</v>
      </c>
    </row>
    <row r="474" spans="1:21" x14ac:dyDescent="0.2">
      <c r="A474">
        <v>1824000420</v>
      </c>
      <c r="B474" t="s">
        <v>1704</v>
      </c>
      <c r="C474" s="929">
        <v>12366</v>
      </c>
      <c r="D474" s="930">
        <v>6654.54</v>
      </c>
      <c r="E474">
        <v>0</v>
      </c>
      <c r="F474" s="930">
        <v>6654.54</v>
      </c>
      <c r="G474" s="930"/>
      <c r="I474" s="929"/>
      <c r="J474" s="930"/>
      <c r="L474" s="930"/>
      <c r="M474" s="930"/>
      <c r="S474" s="930"/>
      <c r="U474" s="930"/>
    </row>
    <row r="475" spans="1:21" x14ac:dyDescent="0.2">
      <c r="A475">
        <v>1824000430</v>
      </c>
      <c r="B475" t="s">
        <v>2978</v>
      </c>
      <c r="C475">
        <v>0</v>
      </c>
      <c r="D475">
        <v>0</v>
      </c>
      <c r="E475">
        <v>0</v>
      </c>
      <c r="F475">
        <v>0</v>
      </c>
    </row>
    <row r="476" spans="1:21" x14ac:dyDescent="0.2">
      <c r="A476">
        <v>1824000431</v>
      </c>
      <c r="B476" t="s">
        <v>762</v>
      </c>
      <c r="C476" s="929">
        <v>24282</v>
      </c>
      <c r="D476" s="930">
        <v>23387.26</v>
      </c>
      <c r="E476">
        <v>0</v>
      </c>
      <c r="F476" s="930">
        <v>23387.26</v>
      </c>
      <c r="I476" s="929"/>
      <c r="J476" s="930"/>
      <c r="L476" s="930"/>
      <c r="M476" s="930"/>
      <c r="S476" s="930"/>
      <c r="U476" s="930"/>
    </row>
    <row r="477" spans="1:21" x14ac:dyDescent="0.2">
      <c r="A477">
        <v>1824000432</v>
      </c>
      <c r="B477" t="s">
        <v>763</v>
      </c>
      <c r="C477" s="929">
        <v>2250</v>
      </c>
      <c r="D477">
        <v>825.9</v>
      </c>
      <c r="E477">
        <v>0</v>
      </c>
      <c r="F477">
        <v>825.9</v>
      </c>
      <c r="G477" s="930"/>
      <c r="I477" s="929"/>
      <c r="M477" s="930"/>
    </row>
    <row r="478" spans="1:21" x14ac:dyDescent="0.2">
      <c r="A478">
        <v>1824000540</v>
      </c>
      <c r="B478" t="s">
        <v>764</v>
      </c>
      <c r="C478" s="929">
        <v>1800</v>
      </c>
      <c r="D478" s="930">
        <v>1522.44</v>
      </c>
      <c r="E478">
        <v>0</v>
      </c>
      <c r="F478" s="930">
        <v>1522.44</v>
      </c>
      <c r="I478" s="929"/>
      <c r="J478" s="930"/>
      <c r="L478" s="930"/>
      <c r="S478" s="930"/>
      <c r="U478" s="930"/>
    </row>
    <row r="479" spans="1:21" x14ac:dyDescent="0.2">
      <c r="A479">
        <v>1825000110</v>
      </c>
      <c r="B479" t="s">
        <v>2979</v>
      </c>
      <c r="C479" s="929">
        <v>42732</v>
      </c>
      <c r="D479" s="930">
        <v>40382.44</v>
      </c>
      <c r="E479">
        <v>0</v>
      </c>
      <c r="F479" s="930">
        <v>40382.44</v>
      </c>
      <c r="G479" s="930"/>
      <c r="I479" s="929"/>
      <c r="J479" s="930"/>
      <c r="L479" s="930"/>
      <c r="M479" s="930"/>
      <c r="S479" s="930"/>
      <c r="U479" s="930"/>
    </row>
    <row r="480" spans="1:21" x14ac:dyDescent="0.2">
      <c r="A480">
        <v>1825000430</v>
      </c>
      <c r="B480" t="s">
        <v>2980</v>
      </c>
      <c r="C480">
        <v>0</v>
      </c>
      <c r="D480">
        <v>0</v>
      </c>
      <c r="E480">
        <v>0</v>
      </c>
      <c r="F480">
        <v>0</v>
      </c>
    </row>
    <row r="481" spans="1:21" x14ac:dyDescent="0.2">
      <c r="A481">
        <v>1825000431</v>
      </c>
      <c r="B481" t="s">
        <v>766</v>
      </c>
      <c r="C481" s="929">
        <v>1503</v>
      </c>
      <c r="D481">
        <v>0</v>
      </c>
      <c r="E481">
        <v>0</v>
      </c>
      <c r="F481">
        <v>0</v>
      </c>
      <c r="G481" s="930"/>
      <c r="I481" s="929"/>
      <c r="M481" s="930"/>
    </row>
    <row r="482" spans="1:21" x14ac:dyDescent="0.2">
      <c r="A482">
        <v>1825000432</v>
      </c>
      <c r="B482" t="s">
        <v>767</v>
      </c>
      <c r="C482" s="929">
        <v>1503</v>
      </c>
      <c r="D482">
        <v>0</v>
      </c>
      <c r="E482">
        <v>0</v>
      </c>
      <c r="F482">
        <v>0</v>
      </c>
      <c r="G482" s="930"/>
      <c r="I482" s="929"/>
      <c r="M482" s="930"/>
    </row>
    <row r="483" spans="1:21" x14ac:dyDescent="0.2">
      <c r="A483">
        <v>1825000540</v>
      </c>
      <c r="B483" t="s">
        <v>768</v>
      </c>
      <c r="C483" s="929">
        <v>1953</v>
      </c>
      <c r="D483" s="930">
        <v>1757.04</v>
      </c>
      <c r="E483">
        <v>0</v>
      </c>
      <c r="F483" s="930">
        <v>1757.04</v>
      </c>
      <c r="I483" s="929"/>
      <c r="J483" s="930"/>
      <c r="L483" s="930"/>
      <c r="S483" s="930"/>
      <c r="U483" s="930"/>
    </row>
    <row r="484" spans="1:21" x14ac:dyDescent="0.2">
      <c r="A484">
        <v>1828000110</v>
      </c>
      <c r="B484" t="s">
        <v>752</v>
      </c>
      <c r="C484">
        <v>0</v>
      </c>
      <c r="D484" s="930">
        <v>3039.82</v>
      </c>
      <c r="E484">
        <v>0</v>
      </c>
      <c r="F484" s="930">
        <v>3039.82</v>
      </c>
      <c r="G484" s="930"/>
      <c r="J484" s="930"/>
      <c r="L484" s="930"/>
      <c r="M484" s="930"/>
      <c r="S484" s="930"/>
      <c r="U484" s="930"/>
    </row>
    <row r="485" spans="1:21" x14ac:dyDescent="0.2">
      <c r="A485">
        <v>1828100110</v>
      </c>
      <c r="B485" t="s">
        <v>2981</v>
      </c>
      <c r="C485" s="929">
        <v>211419</v>
      </c>
      <c r="D485" s="930">
        <v>177463.12</v>
      </c>
      <c r="E485">
        <v>0</v>
      </c>
      <c r="F485" s="930">
        <v>177463.12</v>
      </c>
      <c r="G485" s="930"/>
      <c r="I485" s="929"/>
      <c r="J485" s="930"/>
      <c r="L485" s="930"/>
      <c r="M485" s="930"/>
      <c r="S485" s="930"/>
      <c r="U485" s="930"/>
    </row>
    <row r="486" spans="1:21" x14ac:dyDescent="0.2">
      <c r="A486">
        <v>1828100780</v>
      </c>
      <c r="B486" t="s">
        <v>1049</v>
      </c>
      <c r="C486" s="929">
        <v>34254</v>
      </c>
      <c r="D486">
        <v>0</v>
      </c>
      <c r="E486">
        <v>0</v>
      </c>
      <c r="F486">
        <v>0</v>
      </c>
      <c r="G486" s="930"/>
      <c r="I486" s="929"/>
      <c r="M486" s="930"/>
    </row>
    <row r="487" spans="1:21" x14ac:dyDescent="0.2">
      <c r="A487">
        <v>1828110750</v>
      </c>
      <c r="B487" t="s">
        <v>772</v>
      </c>
      <c r="C487" s="929">
        <v>31860</v>
      </c>
      <c r="D487">
        <v>0</v>
      </c>
      <c r="E487">
        <v>0</v>
      </c>
      <c r="F487">
        <v>0</v>
      </c>
      <c r="G487" s="930"/>
      <c r="I487" s="929"/>
      <c r="M487" s="930"/>
    </row>
    <row r="488" spans="1:21" x14ac:dyDescent="0.2">
      <c r="A488">
        <v>1828110780</v>
      </c>
      <c r="B488" t="s">
        <v>772</v>
      </c>
      <c r="C488">
        <v>0</v>
      </c>
      <c r="D488">
        <v>0</v>
      </c>
      <c r="E488">
        <v>0</v>
      </c>
      <c r="F488">
        <v>0</v>
      </c>
    </row>
    <row r="489" spans="1:21" x14ac:dyDescent="0.2">
      <c r="A489">
        <v>1828200410</v>
      </c>
      <c r="B489" t="s">
        <v>773</v>
      </c>
      <c r="C489" s="929">
        <v>22491</v>
      </c>
      <c r="D489" s="930">
        <v>22500</v>
      </c>
      <c r="E489">
        <v>0</v>
      </c>
      <c r="F489" s="930">
        <v>22500</v>
      </c>
      <c r="I489" s="929"/>
      <c r="J489" s="930"/>
      <c r="L489" s="930"/>
      <c r="M489" s="930"/>
      <c r="S489" s="930"/>
      <c r="U489" s="930"/>
    </row>
    <row r="490" spans="1:21" x14ac:dyDescent="0.2">
      <c r="A490">
        <v>1828200430</v>
      </c>
      <c r="B490" t="s">
        <v>2982</v>
      </c>
      <c r="C490">
        <v>0</v>
      </c>
      <c r="D490">
        <v>0</v>
      </c>
      <c r="E490">
        <v>0</v>
      </c>
      <c r="F490">
        <v>0</v>
      </c>
    </row>
    <row r="491" spans="1:21" x14ac:dyDescent="0.2">
      <c r="A491">
        <v>1829000110</v>
      </c>
      <c r="B491" t="s">
        <v>775</v>
      </c>
      <c r="C491" s="929">
        <v>197919</v>
      </c>
      <c r="D491" s="930">
        <v>168547</v>
      </c>
      <c r="E491">
        <v>0</v>
      </c>
      <c r="F491" s="930">
        <v>168547</v>
      </c>
      <c r="G491" s="930"/>
      <c r="I491" s="929"/>
      <c r="J491" s="930"/>
      <c r="L491" s="930"/>
      <c r="M491" s="930"/>
      <c r="S491" s="930"/>
      <c r="U491" s="930"/>
    </row>
    <row r="492" spans="1:21" x14ac:dyDescent="0.2">
      <c r="A492">
        <v>1829000432</v>
      </c>
      <c r="B492" t="s">
        <v>776</v>
      </c>
      <c r="C492" s="929">
        <v>18486</v>
      </c>
      <c r="D492" s="930">
        <v>24654</v>
      </c>
      <c r="E492">
        <v>0</v>
      </c>
      <c r="F492" s="930">
        <v>24654</v>
      </c>
      <c r="G492" s="930"/>
      <c r="I492" s="929"/>
      <c r="J492" s="930"/>
      <c r="L492" s="930"/>
      <c r="S492" s="930"/>
      <c r="U492" s="930"/>
    </row>
    <row r="493" spans="1:21" x14ac:dyDescent="0.2">
      <c r="A493">
        <v>1829000750</v>
      </c>
      <c r="B493" t="s">
        <v>2983</v>
      </c>
      <c r="C493" s="929">
        <v>150000</v>
      </c>
      <c r="D493" s="930">
        <v>70012.7</v>
      </c>
      <c r="E493" s="930">
        <v>50030.59</v>
      </c>
      <c r="F493" s="930">
        <v>120043.29</v>
      </c>
      <c r="G493" s="930"/>
      <c r="I493" s="929"/>
      <c r="J493" s="930"/>
      <c r="K493" s="930"/>
      <c r="L493" s="930"/>
      <c r="M493" s="930"/>
      <c r="S493" s="930"/>
      <c r="U493" s="930"/>
    </row>
    <row r="494" spans="1:21" x14ac:dyDescent="0.2">
      <c r="A494">
        <v>1829000810</v>
      </c>
      <c r="B494" t="s">
        <v>2983</v>
      </c>
      <c r="C494">
        <v>0</v>
      </c>
      <c r="D494">
        <v>0</v>
      </c>
      <c r="E494">
        <v>0</v>
      </c>
      <c r="F494">
        <v>0</v>
      </c>
    </row>
    <row r="495" spans="1:21" x14ac:dyDescent="0.2">
      <c r="A495">
        <v>1832400110</v>
      </c>
      <c r="B495" t="s">
        <v>2984</v>
      </c>
      <c r="C495" s="929">
        <v>44982</v>
      </c>
      <c r="D495" s="930">
        <v>43489.06</v>
      </c>
      <c r="E495">
        <v>0</v>
      </c>
      <c r="F495" s="930">
        <v>43489.06</v>
      </c>
      <c r="G495" s="930"/>
      <c r="I495" s="929"/>
      <c r="J495" s="930"/>
      <c r="L495" s="930"/>
      <c r="M495" s="930"/>
      <c r="S495" s="930"/>
      <c r="U495" s="930"/>
    </row>
    <row r="496" spans="1:21" x14ac:dyDescent="0.2">
      <c r="A496">
        <v>1832400410</v>
      </c>
      <c r="B496" t="s">
        <v>2985</v>
      </c>
      <c r="C496">
        <v>0</v>
      </c>
      <c r="D496">
        <v>0</v>
      </c>
      <c r="E496">
        <v>0</v>
      </c>
      <c r="F496">
        <v>0</v>
      </c>
    </row>
    <row r="497" spans="1:21" x14ac:dyDescent="0.2">
      <c r="A497">
        <v>1832400430</v>
      </c>
      <c r="B497" t="s">
        <v>2986</v>
      </c>
      <c r="C497">
        <v>0</v>
      </c>
      <c r="D497">
        <v>0</v>
      </c>
      <c r="E497">
        <v>0</v>
      </c>
      <c r="F497">
        <v>0</v>
      </c>
    </row>
    <row r="498" spans="1:21" x14ac:dyDescent="0.2">
      <c r="A498">
        <v>1832400432</v>
      </c>
      <c r="B498" t="s">
        <v>2987</v>
      </c>
      <c r="C498">
        <v>0</v>
      </c>
      <c r="D498">
        <v>0</v>
      </c>
      <c r="E498">
        <v>0</v>
      </c>
      <c r="F498">
        <v>0</v>
      </c>
    </row>
    <row r="499" spans="1:21" x14ac:dyDescent="0.2">
      <c r="A499">
        <v>1836000430</v>
      </c>
      <c r="B499" t="s">
        <v>2988</v>
      </c>
      <c r="C499">
        <v>0</v>
      </c>
      <c r="D499">
        <v>0</v>
      </c>
      <c r="E499">
        <v>0</v>
      </c>
      <c r="F499">
        <v>0</v>
      </c>
    </row>
    <row r="500" spans="1:21" x14ac:dyDescent="0.2">
      <c r="A500">
        <v>1836000431</v>
      </c>
      <c r="B500" t="s">
        <v>2989</v>
      </c>
      <c r="C500" s="929">
        <v>2997</v>
      </c>
      <c r="D500">
        <v>0</v>
      </c>
      <c r="E500">
        <v>0</v>
      </c>
      <c r="F500">
        <v>0</v>
      </c>
      <c r="G500" s="930"/>
      <c r="I500" s="929"/>
      <c r="M500" s="930"/>
    </row>
    <row r="501" spans="1:21" x14ac:dyDescent="0.2">
      <c r="A501">
        <v>1836000432</v>
      </c>
      <c r="B501" t="s">
        <v>785</v>
      </c>
      <c r="C501" s="929">
        <v>2997</v>
      </c>
      <c r="D501">
        <v>604</v>
      </c>
      <c r="E501">
        <v>0</v>
      </c>
      <c r="F501">
        <v>604</v>
      </c>
      <c r="G501" s="930"/>
      <c r="I501" s="929"/>
      <c r="M501" s="930"/>
    </row>
    <row r="502" spans="1:21" x14ac:dyDescent="0.2">
      <c r="A502">
        <v>1836000820</v>
      </c>
      <c r="B502" t="s">
        <v>2990</v>
      </c>
      <c r="C502" s="929">
        <v>55530</v>
      </c>
      <c r="D502" s="930">
        <v>55551.6</v>
      </c>
      <c r="E502">
        <v>0</v>
      </c>
      <c r="F502" s="930">
        <v>55551.6</v>
      </c>
      <c r="I502" s="929"/>
      <c r="J502" s="930"/>
      <c r="L502" s="930"/>
      <c r="M502" s="930"/>
      <c r="S502" s="930"/>
      <c r="U502" s="930"/>
    </row>
    <row r="503" spans="1:21" x14ac:dyDescent="0.2">
      <c r="A503">
        <v>1841000110</v>
      </c>
      <c r="B503" t="s">
        <v>791</v>
      </c>
      <c r="C503" s="929">
        <v>1490805</v>
      </c>
      <c r="D503" s="930">
        <v>957326.11</v>
      </c>
      <c r="E503">
        <v>0</v>
      </c>
      <c r="F503" s="930">
        <v>957326.11</v>
      </c>
      <c r="G503" s="930"/>
      <c r="I503" s="929"/>
      <c r="J503" s="930"/>
      <c r="L503" s="930"/>
      <c r="M503" s="930"/>
      <c r="S503" s="930"/>
      <c r="U503" s="930"/>
    </row>
    <row r="504" spans="1:21" x14ac:dyDescent="0.2">
      <c r="A504">
        <v>1841000410</v>
      </c>
      <c r="B504" t="s">
        <v>2991</v>
      </c>
      <c r="C504" s="929">
        <v>20988</v>
      </c>
      <c r="D504" s="930">
        <v>21060</v>
      </c>
      <c r="E504">
        <v>0</v>
      </c>
      <c r="F504" s="930">
        <v>21060</v>
      </c>
      <c r="I504" s="929"/>
      <c r="J504" s="930"/>
      <c r="L504" s="930"/>
      <c r="M504" s="930"/>
      <c r="S504" s="930"/>
      <c r="U504" s="930"/>
    </row>
    <row r="505" spans="1:21" x14ac:dyDescent="0.2">
      <c r="A505">
        <v>1841000430</v>
      </c>
      <c r="B505" t="s">
        <v>2992</v>
      </c>
      <c r="C505">
        <v>0</v>
      </c>
      <c r="D505">
        <v>0</v>
      </c>
      <c r="E505">
        <v>0</v>
      </c>
      <c r="F505">
        <v>0</v>
      </c>
    </row>
    <row r="506" spans="1:21" x14ac:dyDescent="0.2">
      <c r="A506">
        <v>1841000431</v>
      </c>
      <c r="B506" t="s">
        <v>2993</v>
      </c>
      <c r="C506" s="929">
        <v>28485</v>
      </c>
      <c r="D506" s="930">
        <v>21506.25</v>
      </c>
      <c r="E506">
        <v>0</v>
      </c>
      <c r="F506" s="930">
        <v>21506.25</v>
      </c>
      <c r="G506" s="930"/>
      <c r="I506" s="929"/>
      <c r="J506" s="930"/>
      <c r="L506" s="930"/>
      <c r="M506" s="930"/>
      <c r="S506" s="930"/>
      <c r="U506" s="930"/>
    </row>
    <row r="507" spans="1:21" x14ac:dyDescent="0.2">
      <c r="A507">
        <v>1841000432</v>
      </c>
      <c r="B507" t="s">
        <v>2994</v>
      </c>
      <c r="C507" s="929">
        <v>9144</v>
      </c>
      <c r="D507" s="930">
        <v>5241.6499999999996</v>
      </c>
      <c r="E507">
        <v>0</v>
      </c>
      <c r="F507" s="930">
        <v>5241.6499999999996</v>
      </c>
      <c r="G507" s="930"/>
      <c r="I507" s="929"/>
      <c r="J507" s="930"/>
      <c r="L507" s="930"/>
      <c r="M507" s="930"/>
      <c r="S507" s="930"/>
      <c r="U507" s="930"/>
    </row>
    <row r="508" spans="1:21" x14ac:dyDescent="0.2">
      <c r="A508">
        <v>1841000470</v>
      </c>
      <c r="B508" t="s">
        <v>2995</v>
      </c>
      <c r="C508" s="929">
        <v>2988</v>
      </c>
      <c r="D508" s="930">
        <v>1600</v>
      </c>
      <c r="E508" s="930">
        <v>1000</v>
      </c>
      <c r="F508" s="930">
        <v>2600</v>
      </c>
      <c r="I508" s="929"/>
      <c r="J508" s="930"/>
      <c r="K508" s="930"/>
      <c r="L508" s="930"/>
      <c r="M508" s="930"/>
      <c r="S508" s="930"/>
      <c r="U508" s="930"/>
    </row>
    <row r="509" spans="1:21" x14ac:dyDescent="0.2">
      <c r="A509">
        <v>1841000520</v>
      </c>
      <c r="B509" t="s">
        <v>796</v>
      </c>
      <c r="C509" s="929">
        <v>3915</v>
      </c>
      <c r="D509">
        <v>0</v>
      </c>
      <c r="E509">
        <v>0</v>
      </c>
      <c r="F509">
        <v>0</v>
      </c>
      <c r="G509" s="930"/>
      <c r="I509" s="929"/>
      <c r="M509" s="930"/>
    </row>
    <row r="510" spans="1:21" x14ac:dyDescent="0.2">
      <c r="A510">
        <v>1841000540</v>
      </c>
      <c r="B510" t="s">
        <v>2996</v>
      </c>
      <c r="C510" s="929">
        <v>11250</v>
      </c>
      <c r="D510" s="930">
        <v>14600.87</v>
      </c>
      <c r="E510">
        <v>0</v>
      </c>
      <c r="F510" s="930">
        <v>14600.87</v>
      </c>
      <c r="G510" s="930"/>
      <c r="I510" s="929"/>
      <c r="J510" s="930"/>
      <c r="L510" s="930"/>
      <c r="S510" s="930"/>
      <c r="U510" s="930"/>
    </row>
    <row r="511" spans="1:21" x14ac:dyDescent="0.2">
      <c r="A511">
        <v>1841000780</v>
      </c>
      <c r="B511" t="s">
        <v>2997</v>
      </c>
      <c r="C511">
        <v>0</v>
      </c>
      <c r="D511" s="930">
        <v>2925</v>
      </c>
      <c r="E511">
        <v>0</v>
      </c>
      <c r="F511" s="930">
        <v>2925</v>
      </c>
      <c r="G511" s="930"/>
      <c r="J511" s="930"/>
      <c r="L511" s="930"/>
      <c r="M511" s="930"/>
      <c r="S511" s="930"/>
      <c r="U511" s="930"/>
    </row>
    <row r="512" spans="1:21" x14ac:dyDescent="0.2">
      <c r="A512">
        <v>1841000840</v>
      </c>
      <c r="B512" t="s">
        <v>798</v>
      </c>
      <c r="C512" s="929">
        <v>12456</v>
      </c>
      <c r="D512">
        <v>0</v>
      </c>
      <c r="E512">
        <v>0</v>
      </c>
      <c r="F512">
        <v>0</v>
      </c>
      <c r="G512" s="930"/>
      <c r="I512" s="929"/>
      <c r="M512" s="930"/>
    </row>
    <row r="513" spans="1:21" x14ac:dyDescent="0.2">
      <c r="A513">
        <v>1841001110</v>
      </c>
      <c r="B513" t="s">
        <v>799</v>
      </c>
      <c r="C513" s="929">
        <v>292383</v>
      </c>
      <c r="D513" s="930">
        <v>304278.38</v>
      </c>
      <c r="E513">
        <v>0</v>
      </c>
      <c r="F513" s="930">
        <v>304278.38</v>
      </c>
      <c r="G513" s="930"/>
      <c r="I513" s="929"/>
      <c r="J513" s="930"/>
      <c r="L513" s="930"/>
      <c r="M513" s="930"/>
      <c r="S513" s="930"/>
      <c r="U513" s="930"/>
    </row>
    <row r="514" spans="1:21" x14ac:dyDescent="0.2">
      <c r="A514">
        <v>1841300110</v>
      </c>
      <c r="B514" t="s">
        <v>800</v>
      </c>
      <c r="C514" s="929">
        <v>65439</v>
      </c>
      <c r="D514" s="930">
        <v>41939.14</v>
      </c>
      <c r="E514">
        <v>0</v>
      </c>
      <c r="F514" s="930">
        <v>41939.14</v>
      </c>
      <c r="G514" s="930"/>
      <c r="I514" s="929"/>
      <c r="J514" s="930"/>
      <c r="L514" s="930"/>
      <c r="M514" s="930"/>
      <c r="S514" s="930"/>
      <c r="U514" s="930"/>
    </row>
    <row r="515" spans="1:21" x14ac:dyDescent="0.2">
      <c r="A515">
        <v>1841400110</v>
      </c>
      <c r="B515" t="s">
        <v>2998</v>
      </c>
      <c r="C515">
        <v>0</v>
      </c>
      <c r="D515">
        <v>0</v>
      </c>
      <c r="E515">
        <v>0</v>
      </c>
      <c r="F515">
        <v>0</v>
      </c>
    </row>
    <row r="516" spans="1:21" x14ac:dyDescent="0.2">
      <c r="A516">
        <v>1841500110</v>
      </c>
      <c r="B516" t="s">
        <v>2999</v>
      </c>
      <c r="C516">
        <v>0</v>
      </c>
      <c r="D516">
        <v>0</v>
      </c>
      <c r="E516">
        <v>0</v>
      </c>
      <c r="F516">
        <v>0</v>
      </c>
    </row>
    <row r="517" spans="1:21" x14ac:dyDescent="0.2">
      <c r="A517">
        <v>1842200840</v>
      </c>
      <c r="B517" t="s">
        <v>803</v>
      </c>
      <c r="C517" s="929">
        <v>37287</v>
      </c>
      <c r="D517" s="930">
        <v>70868</v>
      </c>
      <c r="E517">
        <v>0</v>
      </c>
      <c r="F517" s="930">
        <v>70868</v>
      </c>
      <c r="G517" s="930"/>
      <c r="I517" s="929"/>
      <c r="J517" s="930"/>
      <c r="L517" s="930"/>
      <c r="M517" s="930"/>
      <c r="S517" s="930"/>
      <c r="U517" s="930"/>
    </row>
    <row r="518" spans="1:21" x14ac:dyDescent="0.2">
      <c r="A518">
        <v>1842201810</v>
      </c>
      <c r="B518" t="s">
        <v>1257</v>
      </c>
      <c r="C518">
        <v>0</v>
      </c>
      <c r="D518">
        <v>0</v>
      </c>
      <c r="E518">
        <v>0</v>
      </c>
      <c r="F518">
        <v>0</v>
      </c>
    </row>
    <row r="519" spans="1:21" x14ac:dyDescent="0.2">
      <c r="A519">
        <v>1842201840</v>
      </c>
      <c r="B519" t="s">
        <v>804</v>
      </c>
      <c r="C519" s="929">
        <v>129753</v>
      </c>
      <c r="D519" s="930">
        <v>84601</v>
      </c>
      <c r="E519">
        <v>0</v>
      </c>
      <c r="F519" s="930">
        <v>84601</v>
      </c>
      <c r="G519" s="930"/>
      <c r="I519" s="929"/>
      <c r="J519" s="930"/>
      <c r="L519" s="930"/>
      <c r="M519" s="930"/>
      <c r="S519" s="930"/>
      <c r="U519" s="930"/>
    </row>
    <row r="520" spans="1:21" x14ac:dyDescent="0.2">
      <c r="A520">
        <v>1842203840</v>
      </c>
      <c r="B520" t="s">
        <v>3000</v>
      </c>
      <c r="C520">
        <v>0</v>
      </c>
      <c r="D520">
        <v>0</v>
      </c>
      <c r="E520">
        <v>0</v>
      </c>
      <c r="F520">
        <v>0</v>
      </c>
    </row>
    <row r="521" spans="1:21" x14ac:dyDescent="0.2">
      <c r="A521">
        <v>1842210810</v>
      </c>
      <c r="B521" t="s">
        <v>1258</v>
      </c>
      <c r="C521">
        <v>0</v>
      </c>
      <c r="D521">
        <v>0</v>
      </c>
      <c r="E521">
        <v>0</v>
      </c>
      <c r="F521">
        <v>0</v>
      </c>
    </row>
    <row r="522" spans="1:21" x14ac:dyDescent="0.2">
      <c r="A522">
        <v>1842210840</v>
      </c>
      <c r="B522" t="s">
        <v>1258</v>
      </c>
      <c r="C522" s="929">
        <v>37287</v>
      </c>
      <c r="D522" s="930">
        <v>35506</v>
      </c>
      <c r="E522">
        <v>0</v>
      </c>
      <c r="F522" s="930">
        <v>35506</v>
      </c>
      <c r="G522" s="930"/>
      <c r="I522" s="929"/>
      <c r="J522" s="930"/>
      <c r="L522" s="930"/>
      <c r="M522" s="930"/>
      <c r="S522" s="930"/>
      <c r="U522" s="930"/>
    </row>
    <row r="523" spans="1:21" x14ac:dyDescent="0.2">
      <c r="A523">
        <v>1842218840</v>
      </c>
      <c r="B523" t="s">
        <v>3001</v>
      </c>
      <c r="C523">
        <v>0</v>
      </c>
      <c r="D523">
        <v>0</v>
      </c>
      <c r="E523">
        <v>0</v>
      </c>
      <c r="F523">
        <v>0</v>
      </c>
    </row>
    <row r="524" spans="1:21" x14ac:dyDescent="0.2">
      <c r="A524">
        <v>1842260810</v>
      </c>
      <c r="B524" t="s">
        <v>1954</v>
      </c>
      <c r="C524">
        <v>0</v>
      </c>
      <c r="D524">
        <v>0</v>
      </c>
      <c r="E524">
        <v>0</v>
      </c>
      <c r="F524">
        <v>0</v>
      </c>
    </row>
    <row r="525" spans="1:21" x14ac:dyDescent="0.2">
      <c r="A525">
        <v>1842300810</v>
      </c>
      <c r="B525" t="s">
        <v>862</v>
      </c>
      <c r="C525">
        <v>0</v>
      </c>
      <c r="D525">
        <v>0</v>
      </c>
      <c r="E525">
        <v>0</v>
      </c>
      <c r="F525">
        <v>0</v>
      </c>
    </row>
    <row r="526" spans="1:21" x14ac:dyDescent="0.2">
      <c r="A526">
        <v>1842400810</v>
      </c>
      <c r="B526" t="s">
        <v>806</v>
      </c>
      <c r="C526" s="929">
        <v>53982</v>
      </c>
      <c r="D526">
        <v>0</v>
      </c>
      <c r="E526">
        <v>0</v>
      </c>
      <c r="F526">
        <v>0</v>
      </c>
      <c r="G526" s="930"/>
      <c r="I526" s="929"/>
      <c r="M526" s="930"/>
    </row>
    <row r="527" spans="1:21" x14ac:dyDescent="0.2">
      <c r="A527">
        <v>1843500410</v>
      </c>
      <c r="B527" t="s">
        <v>3002</v>
      </c>
      <c r="C527">
        <v>0</v>
      </c>
      <c r="D527">
        <v>0</v>
      </c>
      <c r="E527">
        <v>0</v>
      </c>
      <c r="F527">
        <v>0</v>
      </c>
    </row>
    <row r="528" spans="1:21" x14ac:dyDescent="0.2">
      <c r="A528">
        <v>1843500431</v>
      </c>
      <c r="B528" t="s">
        <v>3003</v>
      </c>
      <c r="C528" s="929">
        <v>1125</v>
      </c>
      <c r="D528">
        <v>0</v>
      </c>
      <c r="E528">
        <v>0</v>
      </c>
      <c r="F528">
        <v>0</v>
      </c>
      <c r="G528" s="930"/>
      <c r="I528" s="929"/>
      <c r="M528" s="930"/>
    </row>
    <row r="529" spans="1:21" x14ac:dyDescent="0.2">
      <c r="A529">
        <v>1843500511</v>
      </c>
      <c r="B529" t="s">
        <v>3004</v>
      </c>
      <c r="C529" s="929">
        <v>9001</v>
      </c>
      <c r="D529" s="930">
        <v>4000</v>
      </c>
      <c r="E529" s="930">
        <v>4500</v>
      </c>
      <c r="F529" s="930">
        <v>8500</v>
      </c>
      <c r="I529" s="929"/>
      <c r="J529" s="930"/>
      <c r="K529" s="930"/>
      <c r="L529" s="930"/>
      <c r="M529" s="930"/>
      <c r="S529" s="930"/>
      <c r="U529" s="930"/>
    </row>
    <row r="530" spans="1:21" x14ac:dyDescent="0.2">
      <c r="A530">
        <v>1843500840</v>
      </c>
      <c r="B530" t="s">
        <v>1263</v>
      </c>
      <c r="C530" s="929">
        <v>14004</v>
      </c>
      <c r="D530" s="930">
        <v>49834</v>
      </c>
      <c r="E530">
        <v>0</v>
      </c>
      <c r="F530" s="930">
        <v>49834</v>
      </c>
      <c r="G530" s="930"/>
      <c r="I530" s="929"/>
      <c r="J530" s="930"/>
      <c r="L530" s="930"/>
      <c r="M530" s="930"/>
      <c r="S530" s="930"/>
      <c r="U530" s="930"/>
    </row>
    <row r="531" spans="1:21" x14ac:dyDescent="0.2">
      <c r="A531">
        <v>1843500930</v>
      </c>
      <c r="B531" t="s">
        <v>3005</v>
      </c>
      <c r="C531">
        <v>0</v>
      </c>
      <c r="D531">
        <v>0</v>
      </c>
      <c r="E531">
        <v>0</v>
      </c>
      <c r="F531">
        <v>0</v>
      </c>
    </row>
    <row r="532" spans="1:21" x14ac:dyDescent="0.2">
      <c r="A532">
        <v>1843502410</v>
      </c>
      <c r="B532" t="s">
        <v>3006</v>
      </c>
      <c r="C532">
        <v>0</v>
      </c>
      <c r="D532">
        <v>0</v>
      </c>
      <c r="E532">
        <v>0</v>
      </c>
      <c r="F532">
        <v>0</v>
      </c>
    </row>
    <row r="533" spans="1:21" x14ac:dyDescent="0.2">
      <c r="A533">
        <v>1843502511</v>
      </c>
      <c r="B533" t="s">
        <v>3007</v>
      </c>
      <c r="C533">
        <v>0</v>
      </c>
      <c r="D533">
        <v>0</v>
      </c>
      <c r="E533">
        <v>0</v>
      </c>
      <c r="F533">
        <v>0</v>
      </c>
    </row>
    <row r="534" spans="1:21" x14ac:dyDescent="0.2">
      <c r="A534">
        <v>1843502840</v>
      </c>
      <c r="B534" t="s">
        <v>813</v>
      </c>
      <c r="C534" s="929">
        <v>39933</v>
      </c>
      <c r="D534">
        <v>0</v>
      </c>
      <c r="E534">
        <v>0</v>
      </c>
      <c r="F534">
        <v>0</v>
      </c>
      <c r="G534" s="930"/>
      <c r="I534" s="929"/>
      <c r="M534" s="930"/>
    </row>
    <row r="535" spans="1:21" x14ac:dyDescent="0.2">
      <c r="A535">
        <v>1843510840</v>
      </c>
      <c r="B535" t="s">
        <v>3008</v>
      </c>
      <c r="C535">
        <v>747</v>
      </c>
      <c r="D535">
        <v>0</v>
      </c>
      <c r="E535">
        <v>0</v>
      </c>
      <c r="F535">
        <v>0</v>
      </c>
      <c r="I535" s="929"/>
      <c r="M535" s="930"/>
    </row>
    <row r="536" spans="1:21" x14ac:dyDescent="0.2">
      <c r="A536">
        <v>1843513840</v>
      </c>
      <c r="B536" t="s">
        <v>811</v>
      </c>
      <c r="C536">
        <v>0</v>
      </c>
      <c r="D536">
        <v>0</v>
      </c>
      <c r="E536">
        <v>0</v>
      </c>
      <c r="F536">
        <v>0</v>
      </c>
    </row>
    <row r="537" spans="1:21" x14ac:dyDescent="0.2">
      <c r="A537">
        <v>1843514840</v>
      </c>
      <c r="B537" t="s">
        <v>1956</v>
      </c>
      <c r="C537">
        <v>0</v>
      </c>
      <c r="D537">
        <v>0</v>
      </c>
      <c r="E537">
        <v>0</v>
      </c>
      <c r="F537">
        <v>0</v>
      </c>
    </row>
    <row r="538" spans="1:21" x14ac:dyDescent="0.2">
      <c r="A538">
        <v>1843520840</v>
      </c>
      <c r="B538" t="s">
        <v>1957</v>
      </c>
      <c r="C538">
        <v>0</v>
      </c>
      <c r="D538">
        <v>0</v>
      </c>
      <c r="E538">
        <v>0</v>
      </c>
      <c r="F538">
        <v>0</v>
      </c>
    </row>
    <row r="539" spans="1:21" x14ac:dyDescent="0.2">
      <c r="A539">
        <v>1843531840</v>
      </c>
      <c r="B539" t="s">
        <v>3009</v>
      </c>
      <c r="C539" s="929">
        <v>51354</v>
      </c>
      <c r="D539">
        <v>0</v>
      </c>
      <c r="E539">
        <v>0</v>
      </c>
      <c r="F539">
        <v>0</v>
      </c>
      <c r="G539" s="930"/>
      <c r="I539" s="929"/>
      <c r="M539" s="930"/>
    </row>
    <row r="540" spans="1:21" x14ac:dyDescent="0.2">
      <c r="A540">
        <v>1843540840</v>
      </c>
      <c r="B540" t="s">
        <v>1957</v>
      </c>
      <c r="C540" s="929">
        <v>157734</v>
      </c>
      <c r="D540" s="930">
        <v>51028</v>
      </c>
      <c r="E540">
        <v>0</v>
      </c>
      <c r="F540" s="930">
        <v>51028</v>
      </c>
      <c r="G540" s="930"/>
      <c r="I540" s="929"/>
      <c r="J540" s="930"/>
      <c r="L540" s="930"/>
      <c r="M540" s="930"/>
      <c r="S540" s="930"/>
      <c r="U540" s="930"/>
    </row>
    <row r="541" spans="1:21" x14ac:dyDescent="0.2">
      <c r="A541">
        <v>1843600840</v>
      </c>
      <c r="B541" t="s">
        <v>1956</v>
      </c>
      <c r="C541">
        <v>0</v>
      </c>
      <c r="D541">
        <v>0</v>
      </c>
      <c r="E541">
        <v>0</v>
      </c>
      <c r="F541">
        <v>0</v>
      </c>
    </row>
    <row r="542" spans="1:21" x14ac:dyDescent="0.2">
      <c r="A542">
        <v>1843800810</v>
      </c>
      <c r="B542" t="s">
        <v>818</v>
      </c>
      <c r="C542">
        <v>0</v>
      </c>
      <c r="D542">
        <v>0</v>
      </c>
      <c r="E542">
        <v>0</v>
      </c>
      <c r="F542">
        <v>0</v>
      </c>
    </row>
    <row r="543" spans="1:21" x14ac:dyDescent="0.2">
      <c r="A543">
        <v>1843800840</v>
      </c>
      <c r="B543" t="s">
        <v>818</v>
      </c>
      <c r="C543">
        <v>0</v>
      </c>
      <c r="D543">
        <v>0</v>
      </c>
      <c r="E543">
        <v>0</v>
      </c>
      <c r="F543">
        <v>0</v>
      </c>
    </row>
    <row r="544" spans="1:21" x14ac:dyDescent="0.2">
      <c r="A544">
        <v>1843810840</v>
      </c>
      <c r="B544" t="s">
        <v>1266</v>
      </c>
      <c r="C544" s="929">
        <v>218304</v>
      </c>
      <c r="D544" s="930">
        <v>59038</v>
      </c>
      <c r="E544">
        <v>0</v>
      </c>
      <c r="F544" s="930">
        <v>59038</v>
      </c>
      <c r="G544" s="930"/>
      <c r="I544" s="929"/>
      <c r="J544" s="930"/>
      <c r="L544" s="930"/>
      <c r="M544" s="930"/>
      <c r="S544" s="930"/>
      <c r="U544" s="930"/>
    </row>
    <row r="545" spans="1:21" x14ac:dyDescent="0.2">
      <c r="A545">
        <v>1843817840</v>
      </c>
      <c r="B545" t="s">
        <v>818</v>
      </c>
      <c r="C545" s="929">
        <v>206557</v>
      </c>
      <c r="D545" s="930">
        <v>205766</v>
      </c>
      <c r="E545" s="930">
        <v>21750</v>
      </c>
      <c r="F545" s="930">
        <v>227516</v>
      </c>
      <c r="G545" s="930"/>
      <c r="I545" s="929"/>
      <c r="J545" s="930"/>
      <c r="K545" s="930"/>
      <c r="L545" s="930"/>
      <c r="M545" s="930"/>
      <c r="S545" s="930"/>
      <c r="U545" s="930"/>
    </row>
    <row r="546" spans="1:21" x14ac:dyDescent="0.2">
      <c r="A546">
        <v>1843900840</v>
      </c>
      <c r="B546" t="s">
        <v>819</v>
      </c>
      <c r="C546">
        <v>0</v>
      </c>
      <c r="D546">
        <v>0</v>
      </c>
      <c r="E546">
        <v>0</v>
      </c>
      <c r="F546">
        <v>0</v>
      </c>
    </row>
    <row r="547" spans="1:21" x14ac:dyDescent="0.2">
      <c r="A547">
        <v>1843910840</v>
      </c>
      <c r="B547" t="s">
        <v>819</v>
      </c>
      <c r="C547" s="929">
        <v>484902</v>
      </c>
      <c r="D547" s="930">
        <v>842377</v>
      </c>
      <c r="E547">
        <v>0</v>
      </c>
      <c r="F547" s="930">
        <v>842377</v>
      </c>
      <c r="G547" s="930"/>
      <c r="I547" s="929"/>
      <c r="J547" s="930"/>
      <c r="L547" s="930"/>
      <c r="M547" s="930"/>
      <c r="S547" s="930"/>
      <c r="U547" s="930"/>
    </row>
    <row r="548" spans="1:21" x14ac:dyDescent="0.2">
      <c r="A548">
        <v>1844000410</v>
      </c>
      <c r="B548" t="s">
        <v>3010</v>
      </c>
      <c r="C548" s="929">
        <v>17991</v>
      </c>
      <c r="D548" s="930">
        <v>18000</v>
      </c>
      <c r="E548">
        <v>0</v>
      </c>
      <c r="F548" s="930">
        <v>18000</v>
      </c>
      <c r="I548" s="929"/>
      <c r="J548" s="930"/>
      <c r="L548" s="930"/>
      <c r="M548" s="930"/>
      <c r="S548" s="930"/>
      <c r="U548" s="930"/>
    </row>
    <row r="549" spans="1:21" x14ac:dyDescent="0.2">
      <c r="A549">
        <v>1844300840</v>
      </c>
      <c r="B549" t="s">
        <v>3011</v>
      </c>
      <c r="C549">
        <v>0</v>
      </c>
      <c r="D549">
        <v>0</v>
      </c>
      <c r="E549">
        <v>0</v>
      </c>
      <c r="F549">
        <v>0</v>
      </c>
    </row>
    <row r="550" spans="1:21" x14ac:dyDescent="0.2">
      <c r="A550">
        <v>1844310840</v>
      </c>
      <c r="B550" t="s">
        <v>1270</v>
      </c>
      <c r="C550" s="929">
        <v>83520</v>
      </c>
      <c r="D550" s="930">
        <v>55703</v>
      </c>
      <c r="E550">
        <v>0</v>
      </c>
      <c r="F550" s="930">
        <v>55703</v>
      </c>
      <c r="G550" s="930"/>
      <c r="I550" s="929"/>
      <c r="J550" s="930"/>
      <c r="L550" s="930"/>
      <c r="M550" s="930"/>
      <c r="S550" s="930"/>
      <c r="U550" s="930"/>
    </row>
    <row r="551" spans="1:21" x14ac:dyDescent="0.2">
      <c r="A551">
        <v>1844400430</v>
      </c>
      <c r="B551" t="s">
        <v>3012</v>
      </c>
      <c r="C551" s="929">
        <v>2250</v>
      </c>
      <c r="D551">
        <v>0</v>
      </c>
      <c r="E551">
        <v>0</v>
      </c>
      <c r="F551">
        <v>0</v>
      </c>
      <c r="G551" s="930"/>
      <c r="I551" s="929"/>
      <c r="M551" s="930"/>
    </row>
    <row r="552" spans="1:21" x14ac:dyDescent="0.2">
      <c r="A552">
        <v>1844400510</v>
      </c>
      <c r="B552" t="s">
        <v>3013</v>
      </c>
      <c r="C552">
        <v>0</v>
      </c>
      <c r="D552">
        <v>0</v>
      </c>
      <c r="E552">
        <v>0</v>
      </c>
      <c r="F552">
        <v>0</v>
      </c>
    </row>
    <row r="553" spans="1:21" x14ac:dyDescent="0.2">
      <c r="A553">
        <v>1844400840</v>
      </c>
      <c r="B553" t="s">
        <v>825</v>
      </c>
      <c r="C553" s="929">
        <v>17244</v>
      </c>
      <c r="D553">
        <v>0</v>
      </c>
      <c r="E553">
        <v>0</v>
      </c>
      <c r="F553">
        <v>0</v>
      </c>
      <c r="G553" s="930"/>
      <c r="I553" s="929"/>
      <c r="M553" s="930"/>
    </row>
    <row r="554" spans="1:21" x14ac:dyDescent="0.2">
      <c r="A554">
        <v>1844410810</v>
      </c>
      <c r="B554" t="s">
        <v>3014</v>
      </c>
      <c r="C554">
        <v>0</v>
      </c>
      <c r="D554">
        <v>0</v>
      </c>
      <c r="E554">
        <v>0</v>
      </c>
      <c r="F554">
        <v>0</v>
      </c>
    </row>
    <row r="555" spans="1:21" x14ac:dyDescent="0.2">
      <c r="A555">
        <v>1844410840</v>
      </c>
      <c r="B555" t="s">
        <v>826</v>
      </c>
      <c r="C555" s="929">
        <v>6993</v>
      </c>
      <c r="D555">
        <v>0</v>
      </c>
      <c r="E555">
        <v>0</v>
      </c>
      <c r="F555">
        <v>0</v>
      </c>
      <c r="G555" s="930"/>
      <c r="I555" s="929"/>
      <c r="M555" s="930"/>
    </row>
    <row r="556" spans="1:21" x14ac:dyDescent="0.2">
      <c r="A556">
        <v>1844420840</v>
      </c>
      <c r="B556" t="s">
        <v>1272</v>
      </c>
      <c r="C556" s="929">
        <v>61974</v>
      </c>
      <c r="D556" s="930">
        <v>90422</v>
      </c>
      <c r="E556">
        <v>0</v>
      </c>
      <c r="F556" s="930">
        <v>90422</v>
      </c>
      <c r="G556" s="930"/>
      <c r="I556" s="929"/>
      <c r="J556" s="930"/>
      <c r="L556" s="930"/>
      <c r="M556" s="930"/>
      <c r="S556" s="930"/>
      <c r="U556" s="930"/>
    </row>
    <row r="557" spans="1:21" x14ac:dyDescent="0.2">
      <c r="A557">
        <v>1844430840</v>
      </c>
      <c r="B557" t="s">
        <v>3015</v>
      </c>
      <c r="C557" s="929">
        <v>14994</v>
      </c>
      <c r="D557">
        <v>0</v>
      </c>
      <c r="E557">
        <v>0</v>
      </c>
      <c r="F557">
        <v>0</v>
      </c>
      <c r="G557" s="930"/>
      <c r="I557" s="929"/>
      <c r="M557" s="930"/>
    </row>
    <row r="558" spans="1:21" x14ac:dyDescent="0.2">
      <c r="A558">
        <v>1844440840</v>
      </c>
      <c r="B558" t="s">
        <v>3016</v>
      </c>
      <c r="C558" s="929">
        <v>23490</v>
      </c>
      <c r="D558" s="930">
        <v>35257</v>
      </c>
      <c r="E558">
        <v>0</v>
      </c>
      <c r="F558" s="930">
        <v>35257</v>
      </c>
      <c r="G558" s="930"/>
      <c r="I558" s="929"/>
      <c r="J558" s="930"/>
      <c r="L558" s="930"/>
      <c r="M558" s="930"/>
      <c r="S558" s="930"/>
      <c r="U558" s="930"/>
    </row>
    <row r="559" spans="1:21" x14ac:dyDescent="0.2">
      <c r="A559">
        <v>1844490840</v>
      </c>
      <c r="B559" t="s">
        <v>3017</v>
      </c>
      <c r="C559">
        <v>0</v>
      </c>
      <c r="D559">
        <v>0</v>
      </c>
      <c r="E559">
        <v>0</v>
      </c>
      <c r="F559">
        <v>0</v>
      </c>
    </row>
    <row r="560" spans="1:21" x14ac:dyDescent="0.2">
      <c r="A560">
        <v>1844510840</v>
      </c>
      <c r="B560" t="s">
        <v>1276</v>
      </c>
      <c r="C560" s="929">
        <v>114858</v>
      </c>
      <c r="D560" s="930">
        <v>301851</v>
      </c>
      <c r="E560">
        <v>0</v>
      </c>
      <c r="F560" s="930">
        <v>301851</v>
      </c>
      <c r="G560" s="930"/>
      <c r="I560" s="929"/>
      <c r="J560" s="930"/>
      <c r="L560" s="930"/>
      <c r="M560" s="930"/>
      <c r="S560" s="930"/>
      <c r="U560" s="930"/>
    </row>
    <row r="561" spans="1:21" x14ac:dyDescent="0.2">
      <c r="A561">
        <v>1844512840</v>
      </c>
      <c r="B561" t="s">
        <v>1277</v>
      </c>
      <c r="C561" s="929">
        <v>137601</v>
      </c>
      <c r="D561" s="930">
        <v>423706</v>
      </c>
      <c r="E561">
        <v>0</v>
      </c>
      <c r="F561" s="930">
        <v>423706</v>
      </c>
      <c r="G561" s="930"/>
      <c r="I561" s="929"/>
      <c r="J561" s="930"/>
      <c r="L561" s="930"/>
      <c r="M561" s="930"/>
      <c r="S561" s="930"/>
      <c r="U561" s="930"/>
    </row>
    <row r="562" spans="1:21" x14ac:dyDescent="0.2">
      <c r="A562">
        <v>1845100840</v>
      </c>
      <c r="B562" t="s">
        <v>1965</v>
      </c>
      <c r="C562">
        <v>0</v>
      </c>
      <c r="D562">
        <v>0</v>
      </c>
      <c r="E562">
        <v>0</v>
      </c>
      <c r="F562">
        <v>0</v>
      </c>
    </row>
    <row r="563" spans="1:21" x14ac:dyDescent="0.2">
      <c r="A563">
        <v>1845101840</v>
      </c>
      <c r="B563" t="s">
        <v>3018</v>
      </c>
      <c r="C563" s="929">
        <v>720072</v>
      </c>
      <c r="D563" s="930">
        <v>1087270</v>
      </c>
      <c r="E563">
        <v>0</v>
      </c>
      <c r="F563" s="930">
        <v>1087270</v>
      </c>
      <c r="G563" s="930"/>
      <c r="I563" s="929"/>
      <c r="J563" s="930"/>
      <c r="L563" s="930"/>
      <c r="M563" s="930"/>
      <c r="S563" s="930"/>
      <c r="U563" s="930"/>
    </row>
    <row r="564" spans="1:21" x14ac:dyDescent="0.2">
      <c r="A564">
        <v>1845110840</v>
      </c>
      <c r="B564" t="s">
        <v>1970</v>
      </c>
      <c r="C564">
        <v>0</v>
      </c>
      <c r="D564" s="930">
        <v>7826</v>
      </c>
      <c r="E564">
        <v>0</v>
      </c>
      <c r="F564" s="930">
        <v>7826</v>
      </c>
      <c r="G564" s="930"/>
      <c r="J564" s="930"/>
      <c r="L564" s="930"/>
      <c r="M564" s="930"/>
      <c r="S564" s="930"/>
      <c r="U564" s="930"/>
    </row>
    <row r="565" spans="1:21" x14ac:dyDescent="0.2">
      <c r="A565">
        <v>1845120840</v>
      </c>
      <c r="B565" t="s">
        <v>1968</v>
      </c>
      <c r="C565" s="929">
        <v>127989</v>
      </c>
      <c r="D565" s="930">
        <v>119700</v>
      </c>
      <c r="E565">
        <v>0</v>
      </c>
      <c r="F565" s="930">
        <v>119700</v>
      </c>
      <c r="G565" s="930"/>
      <c r="I565" s="929"/>
      <c r="J565" s="930"/>
      <c r="L565" s="930"/>
      <c r="M565" s="930"/>
      <c r="S565" s="930"/>
      <c r="U565" s="930"/>
    </row>
    <row r="566" spans="1:21" x14ac:dyDescent="0.2">
      <c r="A566">
        <v>1845130840</v>
      </c>
      <c r="B566" t="s">
        <v>1968</v>
      </c>
      <c r="C566">
        <v>0</v>
      </c>
      <c r="D566">
        <v>0</v>
      </c>
      <c r="E566">
        <v>0</v>
      </c>
      <c r="F566">
        <v>0</v>
      </c>
    </row>
    <row r="567" spans="1:21" x14ac:dyDescent="0.2">
      <c r="A567">
        <v>1845140840</v>
      </c>
      <c r="B567" t="s">
        <v>1969</v>
      </c>
      <c r="C567" s="929">
        <v>38511</v>
      </c>
      <c r="D567" s="930">
        <v>62226</v>
      </c>
      <c r="E567">
        <v>0</v>
      </c>
      <c r="F567" s="930">
        <v>62226</v>
      </c>
      <c r="G567" s="930"/>
      <c r="I567" s="929"/>
      <c r="J567" s="930"/>
      <c r="L567" s="930"/>
      <c r="M567" s="930"/>
      <c r="S567" s="930"/>
      <c r="U567" s="930"/>
    </row>
    <row r="568" spans="1:21" x14ac:dyDescent="0.2">
      <c r="A568">
        <v>1845141840</v>
      </c>
      <c r="B568" t="s">
        <v>838</v>
      </c>
      <c r="C568" s="929">
        <v>1503</v>
      </c>
      <c r="D568">
        <v>0</v>
      </c>
      <c r="E568">
        <v>0</v>
      </c>
      <c r="F568">
        <v>0</v>
      </c>
      <c r="G568" s="930"/>
      <c r="I568" s="929"/>
      <c r="M568" s="930"/>
    </row>
    <row r="569" spans="1:21" x14ac:dyDescent="0.2">
      <c r="A569">
        <v>1845143840</v>
      </c>
      <c r="B569" t="s">
        <v>3019</v>
      </c>
      <c r="C569">
        <v>0</v>
      </c>
      <c r="D569">
        <v>0</v>
      </c>
      <c r="E569">
        <v>0</v>
      </c>
      <c r="F569">
        <v>0</v>
      </c>
    </row>
    <row r="570" spans="1:21" x14ac:dyDescent="0.2">
      <c r="A570">
        <v>1845160840</v>
      </c>
      <c r="B570" t="s">
        <v>1968</v>
      </c>
      <c r="C570">
        <v>0</v>
      </c>
      <c r="D570">
        <v>0</v>
      </c>
      <c r="E570">
        <v>0</v>
      </c>
      <c r="F570">
        <v>0</v>
      </c>
    </row>
    <row r="571" spans="1:21" x14ac:dyDescent="0.2">
      <c r="A571">
        <v>1845200110</v>
      </c>
      <c r="B571" t="s">
        <v>3020</v>
      </c>
      <c r="C571" s="929">
        <v>269892</v>
      </c>
      <c r="D571" s="930">
        <v>299265.73</v>
      </c>
      <c r="E571">
        <v>0</v>
      </c>
      <c r="F571" s="930">
        <v>299265.73</v>
      </c>
      <c r="G571" s="930"/>
      <c r="I571" s="929"/>
      <c r="J571" s="930"/>
      <c r="L571" s="930"/>
      <c r="M571" s="930"/>
      <c r="S571" s="930"/>
      <c r="U571" s="930"/>
    </row>
    <row r="572" spans="1:21" x14ac:dyDescent="0.2">
      <c r="A572">
        <v>1845200410</v>
      </c>
      <c r="B572" t="s">
        <v>840</v>
      </c>
      <c r="C572" s="929">
        <v>28485</v>
      </c>
      <c r="D572" s="930">
        <v>24300</v>
      </c>
      <c r="E572">
        <v>0</v>
      </c>
      <c r="F572" s="930">
        <v>24300</v>
      </c>
      <c r="G572" s="930"/>
      <c r="I572" s="929"/>
      <c r="J572" s="930"/>
      <c r="L572" s="930"/>
      <c r="M572" s="930"/>
      <c r="S572" s="930"/>
      <c r="U572" s="930"/>
    </row>
    <row r="573" spans="1:21" x14ac:dyDescent="0.2">
      <c r="A573">
        <v>1845200430</v>
      </c>
      <c r="B573" t="s">
        <v>841</v>
      </c>
      <c r="C573">
        <v>0</v>
      </c>
      <c r="D573">
        <v>0</v>
      </c>
      <c r="E573">
        <v>0</v>
      </c>
      <c r="F573">
        <v>0</v>
      </c>
    </row>
    <row r="574" spans="1:21" x14ac:dyDescent="0.2">
      <c r="A574">
        <v>1845200431</v>
      </c>
      <c r="B574" t="s">
        <v>842</v>
      </c>
      <c r="C574" s="929">
        <v>27090</v>
      </c>
      <c r="D574" s="930">
        <v>29380.42</v>
      </c>
      <c r="E574">
        <v>0</v>
      </c>
      <c r="F574" s="930">
        <v>29380.42</v>
      </c>
      <c r="G574" s="930"/>
      <c r="I574" s="929"/>
      <c r="J574" s="930"/>
      <c r="L574" s="930"/>
      <c r="M574" s="930"/>
      <c r="S574" s="930"/>
      <c r="U574" s="930"/>
    </row>
    <row r="575" spans="1:21" x14ac:dyDescent="0.2">
      <c r="A575">
        <v>1845200540</v>
      </c>
      <c r="B575" t="s">
        <v>3021</v>
      </c>
      <c r="C575">
        <v>0</v>
      </c>
      <c r="D575">
        <v>0</v>
      </c>
      <c r="E575">
        <v>0</v>
      </c>
      <c r="F575">
        <v>0</v>
      </c>
    </row>
    <row r="576" spans="1:21" x14ac:dyDescent="0.2">
      <c r="A576">
        <v>1845200710</v>
      </c>
      <c r="B576" t="s">
        <v>3022</v>
      </c>
      <c r="C576">
        <v>0</v>
      </c>
      <c r="D576">
        <v>0</v>
      </c>
      <c r="E576">
        <v>0</v>
      </c>
      <c r="F576">
        <v>0</v>
      </c>
    </row>
    <row r="577" spans="1:21" x14ac:dyDescent="0.2">
      <c r="A577">
        <v>1845200780</v>
      </c>
      <c r="B577" t="s">
        <v>844</v>
      </c>
      <c r="C577">
        <v>0</v>
      </c>
      <c r="D577">
        <v>0</v>
      </c>
      <c r="E577">
        <v>0</v>
      </c>
      <c r="F577">
        <v>0</v>
      </c>
    </row>
    <row r="578" spans="1:21" x14ac:dyDescent="0.2">
      <c r="A578">
        <v>1845200810</v>
      </c>
      <c r="B578" t="s">
        <v>3023</v>
      </c>
      <c r="C578">
        <v>0</v>
      </c>
      <c r="D578">
        <v>0</v>
      </c>
      <c r="E578">
        <v>0</v>
      </c>
      <c r="F578">
        <v>0</v>
      </c>
    </row>
    <row r="579" spans="1:21" x14ac:dyDescent="0.2">
      <c r="A579">
        <v>1845200840</v>
      </c>
      <c r="B579" t="s">
        <v>3024</v>
      </c>
      <c r="C579" s="929">
        <v>232065</v>
      </c>
      <c r="D579" s="930">
        <v>201646</v>
      </c>
      <c r="E579">
        <v>0</v>
      </c>
      <c r="F579" s="930">
        <v>201646</v>
      </c>
      <c r="G579" s="930"/>
      <c r="I579" s="929"/>
      <c r="J579" s="930"/>
      <c r="L579" s="930"/>
      <c r="M579" s="930"/>
      <c r="S579" s="930"/>
      <c r="U579" s="930"/>
    </row>
    <row r="580" spans="1:21" x14ac:dyDescent="0.2">
      <c r="A580">
        <v>1845202511</v>
      </c>
      <c r="B580" t="s">
        <v>3025</v>
      </c>
      <c r="C580">
        <v>0</v>
      </c>
      <c r="D580">
        <v>0</v>
      </c>
      <c r="E580">
        <v>0</v>
      </c>
      <c r="F580">
        <v>0</v>
      </c>
    </row>
    <row r="581" spans="1:21" x14ac:dyDescent="0.2">
      <c r="A581">
        <v>1845220840</v>
      </c>
      <c r="B581" t="s">
        <v>1972</v>
      </c>
      <c r="C581">
        <v>0</v>
      </c>
      <c r="D581">
        <v>0</v>
      </c>
      <c r="E581">
        <v>0</v>
      </c>
      <c r="F581">
        <v>0</v>
      </c>
    </row>
    <row r="582" spans="1:21" x14ac:dyDescent="0.2">
      <c r="A582">
        <v>1845270840</v>
      </c>
      <c r="B582" t="s">
        <v>1973</v>
      </c>
      <c r="C582" s="929">
        <v>319950</v>
      </c>
      <c r="D582" s="930">
        <v>54485</v>
      </c>
      <c r="E582" s="930">
        <v>4000</v>
      </c>
      <c r="F582" s="930">
        <v>58485</v>
      </c>
      <c r="G582" s="930"/>
      <c r="I582" s="929"/>
      <c r="J582" s="930"/>
      <c r="K582" s="930"/>
      <c r="L582" s="930"/>
      <c r="M582" s="930"/>
      <c r="S582" s="930"/>
      <c r="U582" s="930"/>
    </row>
    <row r="583" spans="1:21" x14ac:dyDescent="0.2">
      <c r="A583">
        <v>1845300810</v>
      </c>
      <c r="B583" t="s">
        <v>3026</v>
      </c>
      <c r="C583">
        <v>0</v>
      </c>
      <c r="D583">
        <v>0</v>
      </c>
      <c r="E583">
        <v>0</v>
      </c>
      <c r="F583">
        <v>0</v>
      </c>
    </row>
    <row r="584" spans="1:21" x14ac:dyDescent="0.2">
      <c r="A584">
        <v>1845310840</v>
      </c>
      <c r="B584" t="s">
        <v>3027</v>
      </c>
      <c r="C584" s="929">
        <v>4077</v>
      </c>
      <c r="D584" s="930">
        <v>4900</v>
      </c>
      <c r="E584">
        <v>0</v>
      </c>
      <c r="F584" s="930">
        <v>4900</v>
      </c>
      <c r="I584" s="929"/>
      <c r="J584" s="930"/>
      <c r="L584" s="930"/>
      <c r="S584" s="930"/>
      <c r="U584" s="930"/>
    </row>
    <row r="585" spans="1:21" x14ac:dyDescent="0.2">
      <c r="A585">
        <v>1845312840</v>
      </c>
      <c r="B585" t="s">
        <v>1975</v>
      </c>
      <c r="C585" s="929">
        <v>155178</v>
      </c>
      <c r="D585" s="930">
        <v>274188</v>
      </c>
      <c r="E585">
        <v>0</v>
      </c>
      <c r="F585" s="930">
        <v>274188</v>
      </c>
      <c r="G585" s="930"/>
      <c r="I585" s="929"/>
      <c r="J585" s="930"/>
      <c r="L585" s="930"/>
      <c r="M585" s="930"/>
      <c r="S585" s="930"/>
      <c r="U585" s="930"/>
    </row>
    <row r="586" spans="1:21" x14ac:dyDescent="0.2">
      <c r="A586">
        <v>1845320840</v>
      </c>
      <c r="B586" t="s">
        <v>1976</v>
      </c>
      <c r="C586">
        <v>0</v>
      </c>
      <c r="D586">
        <v>0</v>
      </c>
      <c r="E586">
        <v>0</v>
      </c>
      <c r="F586">
        <v>0</v>
      </c>
    </row>
    <row r="587" spans="1:21" x14ac:dyDescent="0.2">
      <c r="A587">
        <v>1845330840</v>
      </c>
      <c r="B587" t="s">
        <v>1977</v>
      </c>
      <c r="C587">
        <v>396</v>
      </c>
      <c r="D587">
        <v>0</v>
      </c>
      <c r="E587">
        <v>0</v>
      </c>
      <c r="F587">
        <v>0</v>
      </c>
    </row>
    <row r="588" spans="1:21" x14ac:dyDescent="0.2">
      <c r="A588">
        <v>1845331840</v>
      </c>
      <c r="B588" t="s">
        <v>1978</v>
      </c>
      <c r="C588">
        <v>0</v>
      </c>
      <c r="D588">
        <v>0</v>
      </c>
      <c r="E588">
        <v>0</v>
      </c>
      <c r="F588">
        <v>0</v>
      </c>
    </row>
    <row r="589" spans="1:21" x14ac:dyDescent="0.2">
      <c r="A589">
        <v>1846310840</v>
      </c>
      <c r="B589" t="s">
        <v>3028</v>
      </c>
      <c r="C589">
        <v>0</v>
      </c>
      <c r="D589">
        <v>0</v>
      </c>
      <c r="E589">
        <v>0</v>
      </c>
      <c r="F589">
        <v>0</v>
      </c>
    </row>
    <row r="590" spans="1:21" x14ac:dyDescent="0.2">
      <c r="A590">
        <v>1846330840</v>
      </c>
      <c r="B590" t="s">
        <v>1979</v>
      </c>
      <c r="C590">
        <v>0</v>
      </c>
      <c r="D590">
        <v>0</v>
      </c>
      <c r="E590">
        <v>0</v>
      </c>
      <c r="F590">
        <v>0</v>
      </c>
    </row>
    <row r="591" spans="1:21" x14ac:dyDescent="0.2">
      <c r="A591">
        <v>1846500840</v>
      </c>
      <c r="B591" t="s">
        <v>852</v>
      </c>
      <c r="C591" s="929">
        <v>139104</v>
      </c>
      <c r="D591" s="930">
        <v>203056</v>
      </c>
      <c r="E591">
        <v>0</v>
      </c>
      <c r="F591" s="930">
        <v>203056</v>
      </c>
      <c r="G591" s="930"/>
      <c r="I591" s="929"/>
      <c r="J591" s="930"/>
      <c r="L591" s="930"/>
      <c r="M591" s="930"/>
      <c r="S591" s="930"/>
      <c r="U591" s="930"/>
    </row>
    <row r="592" spans="1:21" x14ac:dyDescent="0.2">
      <c r="A592">
        <v>1846540840</v>
      </c>
      <c r="B592" t="s">
        <v>1982</v>
      </c>
      <c r="C592">
        <v>0</v>
      </c>
      <c r="D592">
        <v>0</v>
      </c>
      <c r="E592">
        <v>0</v>
      </c>
      <c r="F592">
        <v>0</v>
      </c>
    </row>
    <row r="593" spans="1:21" x14ac:dyDescent="0.2">
      <c r="A593">
        <v>1846600840</v>
      </c>
      <c r="B593" t="s">
        <v>853</v>
      </c>
      <c r="C593" s="929">
        <v>21600</v>
      </c>
      <c r="D593" s="930">
        <v>12389</v>
      </c>
      <c r="E593">
        <v>0</v>
      </c>
      <c r="F593" s="930">
        <v>12389</v>
      </c>
      <c r="G593" s="930"/>
      <c r="I593" s="929"/>
      <c r="J593" s="930"/>
      <c r="L593" s="930"/>
      <c r="M593" s="930"/>
      <c r="S593" s="930"/>
      <c r="U593" s="930"/>
    </row>
    <row r="594" spans="1:21" x14ac:dyDescent="0.2">
      <c r="A594">
        <v>1846601840</v>
      </c>
      <c r="B594" t="s">
        <v>1291</v>
      </c>
      <c r="C594">
        <v>0</v>
      </c>
      <c r="D594">
        <v>0</v>
      </c>
      <c r="E594">
        <v>0</v>
      </c>
      <c r="F594">
        <v>0</v>
      </c>
    </row>
    <row r="595" spans="1:21" x14ac:dyDescent="0.2">
      <c r="A595">
        <v>1846610840</v>
      </c>
      <c r="B595" t="s">
        <v>1291</v>
      </c>
      <c r="C595" s="929">
        <v>2997</v>
      </c>
      <c r="D595" s="930">
        <v>4733</v>
      </c>
      <c r="E595">
        <v>0</v>
      </c>
      <c r="F595" s="930">
        <v>4733</v>
      </c>
      <c r="G595" s="930"/>
      <c r="I595" s="929"/>
      <c r="J595" s="930"/>
      <c r="L595" s="930"/>
      <c r="S595" s="930"/>
      <c r="U595" s="930"/>
    </row>
    <row r="596" spans="1:21" x14ac:dyDescent="0.2">
      <c r="A596">
        <v>1846612930</v>
      </c>
      <c r="B596" t="s">
        <v>3029</v>
      </c>
      <c r="C596">
        <v>0</v>
      </c>
      <c r="D596" s="930">
        <v>10318</v>
      </c>
      <c r="E596">
        <v>0</v>
      </c>
      <c r="F596" s="930">
        <v>10318</v>
      </c>
      <c r="G596" s="930"/>
      <c r="J596" s="930"/>
      <c r="L596" s="930"/>
      <c r="M596" s="930"/>
      <c r="S596" s="930"/>
      <c r="U596" s="930"/>
    </row>
    <row r="597" spans="1:21" x14ac:dyDescent="0.2">
      <c r="A597">
        <v>1846700840</v>
      </c>
      <c r="B597" t="s">
        <v>3030</v>
      </c>
      <c r="C597" s="929">
        <v>34569</v>
      </c>
      <c r="D597" s="930">
        <v>37478</v>
      </c>
      <c r="E597">
        <v>0</v>
      </c>
      <c r="F597" s="930">
        <v>37478</v>
      </c>
      <c r="G597" s="930"/>
      <c r="I597" s="929"/>
      <c r="J597" s="930"/>
      <c r="L597" s="930"/>
      <c r="M597" s="930"/>
      <c r="S597" s="930"/>
      <c r="U597" s="930"/>
    </row>
    <row r="598" spans="1:21" x14ac:dyDescent="0.2">
      <c r="A598">
        <v>1846710840</v>
      </c>
      <c r="B598" t="s">
        <v>855</v>
      </c>
      <c r="C598">
        <v>0</v>
      </c>
      <c r="D598">
        <v>0</v>
      </c>
      <c r="E598">
        <v>0</v>
      </c>
      <c r="F598">
        <v>0</v>
      </c>
    </row>
    <row r="599" spans="1:21" x14ac:dyDescent="0.2">
      <c r="A599">
        <v>1846712840</v>
      </c>
      <c r="B599" t="s">
        <v>3031</v>
      </c>
      <c r="C599">
        <v>0</v>
      </c>
      <c r="D599">
        <v>0</v>
      </c>
      <c r="E599">
        <v>0</v>
      </c>
      <c r="F599">
        <v>0</v>
      </c>
    </row>
    <row r="600" spans="1:21" x14ac:dyDescent="0.2">
      <c r="A600">
        <v>1846713840</v>
      </c>
      <c r="B600" t="s">
        <v>856</v>
      </c>
      <c r="C600" s="929">
        <v>74367</v>
      </c>
      <c r="D600">
        <v>0</v>
      </c>
      <c r="E600">
        <v>0</v>
      </c>
      <c r="F600">
        <v>0</v>
      </c>
      <c r="G600" s="930"/>
      <c r="I600" s="929"/>
      <c r="M600" s="930"/>
    </row>
    <row r="601" spans="1:21" x14ac:dyDescent="0.2">
      <c r="A601">
        <v>1846714840</v>
      </c>
      <c r="B601" t="s">
        <v>857</v>
      </c>
      <c r="C601">
        <v>0</v>
      </c>
      <c r="D601">
        <v>0</v>
      </c>
      <c r="E601">
        <v>0</v>
      </c>
      <c r="F601">
        <v>0</v>
      </c>
    </row>
    <row r="602" spans="1:21" x14ac:dyDescent="0.2">
      <c r="A602">
        <v>1846720840</v>
      </c>
      <c r="B602" t="s">
        <v>857</v>
      </c>
      <c r="C602" s="929">
        <v>7425</v>
      </c>
      <c r="D602">
        <v>0</v>
      </c>
      <c r="E602">
        <v>0</v>
      </c>
      <c r="F602">
        <v>0</v>
      </c>
      <c r="G602" s="930"/>
      <c r="I602" s="929"/>
      <c r="M602" s="930"/>
    </row>
    <row r="603" spans="1:21" x14ac:dyDescent="0.2">
      <c r="A603">
        <v>1846730840</v>
      </c>
      <c r="B603" t="s">
        <v>858</v>
      </c>
      <c r="C603" s="929">
        <v>4995</v>
      </c>
      <c r="D603">
        <v>0</v>
      </c>
      <c r="E603">
        <v>0</v>
      </c>
      <c r="F603">
        <v>0</v>
      </c>
      <c r="G603" s="930"/>
      <c r="I603" s="929"/>
      <c r="M603" s="930"/>
    </row>
    <row r="604" spans="1:21" x14ac:dyDescent="0.2">
      <c r="A604">
        <v>1846740840</v>
      </c>
      <c r="B604" t="s">
        <v>858</v>
      </c>
      <c r="C604">
        <v>0</v>
      </c>
      <c r="D604">
        <v>0</v>
      </c>
      <c r="E604">
        <v>0</v>
      </c>
      <c r="F604">
        <v>0</v>
      </c>
    </row>
    <row r="605" spans="1:21" x14ac:dyDescent="0.2">
      <c r="A605">
        <v>1846800840</v>
      </c>
      <c r="B605" t="s">
        <v>3032</v>
      </c>
      <c r="C605" s="929">
        <v>27936</v>
      </c>
      <c r="D605" s="930">
        <v>2566</v>
      </c>
      <c r="E605">
        <v>0</v>
      </c>
      <c r="F605" s="930">
        <v>2566</v>
      </c>
      <c r="G605" s="930"/>
      <c r="I605" s="929"/>
      <c r="J605" s="930"/>
      <c r="L605" s="930"/>
      <c r="M605" s="930"/>
      <c r="S605" s="930"/>
      <c r="U605" s="930"/>
    </row>
    <row r="606" spans="1:21" x14ac:dyDescent="0.2">
      <c r="A606">
        <v>1846820840</v>
      </c>
      <c r="B606" t="s">
        <v>1987</v>
      </c>
      <c r="C606">
        <v>0</v>
      </c>
      <c r="D606">
        <v>0</v>
      </c>
      <c r="E606">
        <v>0</v>
      </c>
      <c r="F606">
        <v>0</v>
      </c>
    </row>
    <row r="607" spans="1:21" x14ac:dyDescent="0.2">
      <c r="A607">
        <v>1846821930</v>
      </c>
      <c r="B607" t="s">
        <v>1988</v>
      </c>
      <c r="C607">
        <v>0</v>
      </c>
      <c r="D607" s="930">
        <v>10732</v>
      </c>
      <c r="E607">
        <v>0</v>
      </c>
      <c r="F607" s="930">
        <v>10732</v>
      </c>
      <c r="G607" s="930"/>
      <c r="J607" s="930"/>
      <c r="L607" s="930"/>
      <c r="M607" s="930"/>
      <c r="S607" s="930"/>
      <c r="U607" s="930"/>
    </row>
    <row r="608" spans="1:21" x14ac:dyDescent="0.2">
      <c r="A608">
        <v>1846830840</v>
      </c>
      <c r="B608" t="s">
        <v>3033</v>
      </c>
      <c r="C608">
        <v>0</v>
      </c>
      <c r="D608">
        <v>0</v>
      </c>
      <c r="E608">
        <v>0</v>
      </c>
      <c r="F608">
        <v>0</v>
      </c>
    </row>
    <row r="609" spans="1:21" x14ac:dyDescent="0.2">
      <c r="A609">
        <v>1847100810</v>
      </c>
      <c r="B609" t="s">
        <v>862</v>
      </c>
      <c r="C609">
        <v>0</v>
      </c>
      <c r="D609">
        <v>0</v>
      </c>
      <c r="E609">
        <v>0</v>
      </c>
      <c r="F609">
        <v>0</v>
      </c>
    </row>
    <row r="610" spans="1:21" x14ac:dyDescent="0.2">
      <c r="A610">
        <v>1847100840</v>
      </c>
      <c r="B610" t="s">
        <v>1298</v>
      </c>
      <c r="C610" s="929">
        <v>12168</v>
      </c>
      <c r="D610">
        <v>0</v>
      </c>
      <c r="E610">
        <v>0</v>
      </c>
      <c r="F610">
        <v>0</v>
      </c>
      <c r="G610" s="930"/>
      <c r="I610" s="929"/>
      <c r="M610" s="930"/>
    </row>
    <row r="611" spans="1:21" x14ac:dyDescent="0.2">
      <c r="A611">
        <v>1847110810</v>
      </c>
      <c r="B611" t="s">
        <v>863</v>
      </c>
      <c r="C611">
        <v>0</v>
      </c>
      <c r="D611">
        <v>0</v>
      </c>
      <c r="E611">
        <v>0</v>
      </c>
      <c r="F611">
        <v>0</v>
      </c>
    </row>
    <row r="612" spans="1:21" x14ac:dyDescent="0.2">
      <c r="A612">
        <v>1847110840</v>
      </c>
      <c r="B612" t="s">
        <v>863</v>
      </c>
      <c r="C612" s="929">
        <v>4068</v>
      </c>
      <c r="D612">
        <v>0</v>
      </c>
      <c r="E612">
        <v>0</v>
      </c>
      <c r="F612">
        <v>0</v>
      </c>
      <c r="G612" s="930"/>
      <c r="I612" s="929"/>
      <c r="M612" s="930"/>
    </row>
    <row r="613" spans="1:21" x14ac:dyDescent="0.2">
      <c r="A613">
        <v>1847112840</v>
      </c>
      <c r="B613" t="s">
        <v>1990</v>
      </c>
      <c r="C613">
        <v>918</v>
      </c>
      <c r="D613" s="930">
        <v>12584</v>
      </c>
      <c r="E613">
        <v>0</v>
      </c>
      <c r="F613" s="930">
        <v>12584</v>
      </c>
      <c r="G613" s="930"/>
      <c r="I613" s="929"/>
      <c r="J613" s="930"/>
      <c r="L613" s="930"/>
      <c r="M613" s="930"/>
      <c r="N613" s="930"/>
      <c r="S613" s="930"/>
      <c r="U613" s="930"/>
    </row>
    <row r="614" spans="1:21" x14ac:dyDescent="0.2">
      <c r="A614">
        <v>1847128840</v>
      </c>
      <c r="B614" t="s">
        <v>1989</v>
      </c>
      <c r="C614" s="929">
        <v>55872</v>
      </c>
      <c r="D614" s="930">
        <v>84182</v>
      </c>
      <c r="E614">
        <v>0</v>
      </c>
      <c r="F614" s="930">
        <v>84182</v>
      </c>
      <c r="G614" s="930"/>
      <c r="I614" s="929"/>
      <c r="J614" s="930"/>
      <c r="L614" s="930"/>
      <c r="M614" s="930"/>
      <c r="S614" s="930"/>
      <c r="U614" s="930"/>
    </row>
    <row r="615" spans="1:21" x14ac:dyDescent="0.2">
      <c r="A615">
        <v>1847129840</v>
      </c>
      <c r="B615" t="s">
        <v>1990</v>
      </c>
      <c r="C615">
        <v>0</v>
      </c>
      <c r="D615">
        <v>0</v>
      </c>
      <c r="E615">
        <v>0</v>
      </c>
      <c r="F615">
        <v>0</v>
      </c>
    </row>
    <row r="616" spans="1:21" x14ac:dyDescent="0.2">
      <c r="A616">
        <v>1847300810</v>
      </c>
      <c r="B616" t="s">
        <v>3034</v>
      </c>
      <c r="C616">
        <v>0</v>
      </c>
      <c r="D616">
        <v>0</v>
      </c>
      <c r="E616">
        <v>0</v>
      </c>
      <c r="F616">
        <v>0</v>
      </c>
    </row>
    <row r="617" spans="1:21" x14ac:dyDescent="0.2">
      <c r="A617">
        <v>1847361840</v>
      </c>
      <c r="B617" t="s">
        <v>866</v>
      </c>
      <c r="C617" s="929">
        <v>9999</v>
      </c>
      <c r="D617" s="930">
        <v>10364</v>
      </c>
      <c r="E617">
        <v>0</v>
      </c>
      <c r="F617" s="930">
        <v>10364</v>
      </c>
      <c r="I617" s="929"/>
      <c r="J617" s="930"/>
      <c r="L617" s="930"/>
      <c r="M617" s="930"/>
      <c r="S617" s="930"/>
      <c r="U617" s="930"/>
    </row>
    <row r="618" spans="1:21" x14ac:dyDescent="0.2">
      <c r="A618">
        <v>1847368840</v>
      </c>
      <c r="B618" t="s">
        <v>1992</v>
      </c>
      <c r="C618">
        <v>0</v>
      </c>
      <c r="D618">
        <v>0</v>
      </c>
      <c r="E618">
        <v>0</v>
      </c>
      <c r="F618">
        <v>0</v>
      </c>
    </row>
    <row r="619" spans="1:21" x14ac:dyDescent="0.2">
      <c r="A619">
        <v>1847411840</v>
      </c>
      <c r="B619" t="s">
        <v>1993</v>
      </c>
      <c r="C619">
        <v>0</v>
      </c>
      <c r="D619">
        <v>0</v>
      </c>
      <c r="E619">
        <v>0</v>
      </c>
      <c r="F619">
        <v>0</v>
      </c>
    </row>
    <row r="620" spans="1:21" x14ac:dyDescent="0.2">
      <c r="A620">
        <v>1847412840</v>
      </c>
      <c r="B620" t="s">
        <v>1783</v>
      </c>
      <c r="C620" s="929">
        <v>28206</v>
      </c>
      <c r="D620" s="930">
        <v>10059</v>
      </c>
      <c r="E620">
        <v>0</v>
      </c>
      <c r="F620" s="930">
        <v>10059</v>
      </c>
      <c r="G620" s="930"/>
      <c r="I620" s="929"/>
      <c r="J620" s="930"/>
      <c r="L620" s="930"/>
      <c r="M620" s="930"/>
      <c r="S620" s="930"/>
      <c r="U620" s="930"/>
    </row>
    <row r="621" spans="1:21" x14ac:dyDescent="0.2">
      <c r="A621">
        <v>1847440840</v>
      </c>
      <c r="B621" t="s">
        <v>1993</v>
      </c>
      <c r="C621">
        <v>0</v>
      </c>
      <c r="D621">
        <v>0</v>
      </c>
      <c r="E621">
        <v>0</v>
      </c>
      <c r="F621">
        <v>0</v>
      </c>
    </row>
    <row r="622" spans="1:21" x14ac:dyDescent="0.2">
      <c r="A622">
        <v>1848000840</v>
      </c>
      <c r="B622" t="s">
        <v>870</v>
      </c>
      <c r="C622" s="929">
        <v>4689</v>
      </c>
      <c r="D622">
        <v>0</v>
      </c>
      <c r="E622">
        <v>0</v>
      </c>
      <c r="F622">
        <v>0</v>
      </c>
      <c r="G622" s="930"/>
      <c r="I622" s="929"/>
      <c r="M622" s="930"/>
    </row>
    <row r="623" spans="1:21" x14ac:dyDescent="0.2">
      <c r="A623">
        <v>1848100840</v>
      </c>
      <c r="B623" t="s">
        <v>3035</v>
      </c>
      <c r="C623" s="929">
        <v>192429</v>
      </c>
      <c r="D623">
        <v>0</v>
      </c>
      <c r="E623">
        <v>0</v>
      </c>
      <c r="F623">
        <v>0</v>
      </c>
      <c r="G623" s="930"/>
      <c r="I623" s="929"/>
      <c r="M623" s="930"/>
    </row>
    <row r="624" spans="1:21" x14ac:dyDescent="0.2">
      <c r="A624">
        <v>1848101840</v>
      </c>
      <c r="B624" t="s">
        <v>2796</v>
      </c>
      <c r="C624" s="929">
        <v>29988</v>
      </c>
      <c r="D624">
        <v>0</v>
      </c>
      <c r="E624">
        <v>0</v>
      </c>
      <c r="F624">
        <v>0</v>
      </c>
      <c r="G624" s="930"/>
      <c r="I624" s="929"/>
      <c r="M624" s="930"/>
    </row>
    <row r="625" spans="1:21" x14ac:dyDescent="0.2">
      <c r="A625">
        <v>1848102840</v>
      </c>
      <c r="B625" t="s">
        <v>2797</v>
      </c>
      <c r="C625" s="929">
        <v>5094</v>
      </c>
      <c r="D625">
        <v>0</v>
      </c>
      <c r="E625">
        <v>0</v>
      </c>
      <c r="F625">
        <v>0</v>
      </c>
      <c r="G625" s="930"/>
      <c r="I625" s="929"/>
      <c r="M625" s="930"/>
    </row>
    <row r="626" spans="1:21" x14ac:dyDescent="0.2">
      <c r="A626">
        <v>1848103840</v>
      </c>
      <c r="B626" t="s">
        <v>2798</v>
      </c>
      <c r="C626" s="929">
        <v>8883</v>
      </c>
      <c r="D626">
        <v>0</v>
      </c>
      <c r="E626">
        <v>0</v>
      </c>
      <c r="F626">
        <v>0</v>
      </c>
      <c r="G626" s="930"/>
      <c r="I626" s="929"/>
      <c r="M626" s="930"/>
    </row>
    <row r="627" spans="1:21" x14ac:dyDescent="0.2">
      <c r="A627">
        <v>1848104840</v>
      </c>
      <c r="B627" t="s">
        <v>2799</v>
      </c>
      <c r="C627" s="929">
        <v>9900</v>
      </c>
      <c r="D627">
        <v>0</v>
      </c>
      <c r="E627">
        <v>0</v>
      </c>
      <c r="F627">
        <v>0</v>
      </c>
      <c r="G627" s="930"/>
      <c r="I627" s="929"/>
      <c r="M627" s="930"/>
    </row>
    <row r="628" spans="1:21" x14ac:dyDescent="0.2">
      <c r="A628">
        <v>1848105840</v>
      </c>
      <c r="B628" t="s">
        <v>2800</v>
      </c>
      <c r="C628" s="929">
        <v>29961</v>
      </c>
      <c r="D628">
        <v>0</v>
      </c>
      <c r="E628">
        <v>0</v>
      </c>
      <c r="F628">
        <v>0</v>
      </c>
      <c r="G628" s="930"/>
      <c r="I628" s="929"/>
      <c r="M628" s="930"/>
    </row>
    <row r="629" spans="1:21" x14ac:dyDescent="0.2">
      <c r="A629">
        <v>1848106840</v>
      </c>
      <c r="B629" t="s">
        <v>2801</v>
      </c>
      <c r="C629" s="929">
        <v>14994</v>
      </c>
      <c r="D629">
        <v>0</v>
      </c>
      <c r="E629">
        <v>0</v>
      </c>
      <c r="F629">
        <v>0</v>
      </c>
      <c r="G629" s="930"/>
      <c r="I629" s="929"/>
      <c r="M629" s="930"/>
    </row>
    <row r="630" spans="1:21" x14ac:dyDescent="0.2">
      <c r="A630">
        <v>1848107840</v>
      </c>
      <c r="B630" t="s">
        <v>2802</v>
      </c>
      <c r="C630" s="929">
        <v>40257</v>
      </c>
      <c r="D630">
        <v>0</v>
      </c>
      <c r="E630">
        <v>0</v>
      </c>
      <c r="F630">
        <v>0</v>
      </c>
      <c r="G630" s="930"/>
      <c r="I630" s="929"/>
      <c r="M630" s="930"/>
    </row>
    <row r="631" spans="1:21" x14ac:dyDescent="0.2">
      <c r="A631">
        <v>1848108840</v>
      </c>
      <c r="B631" t="s">
        <v>2803</v>
      </c>
      <c r="C631" s="929">
        <v>9000</v>
      </c>
      <c r="D631">
        <v>0</v>
      </c>
      <c r="E631">
        <v>0</v>
      </c>
      <c r="F631">
        <v>0</v>
      </c>
      <c r="G631" s="930"/>
      <c r="I631" s="929"/>
      <c r="M631" s="930"/>
    </row>
    <row r="632" spans="1:21" x14ac:dyDescent="0.2">
      <c r="A632">
        <v>1848109840</v>
      </c>
      <c r="B632" t="s">
        <v>2804</v>
      </c>
      <c r="C632">
        <v>0</v>
      </c>
      <c r="D632">
        <v>0</v>
      </c>
      <c r="E632">
        <v>0</v>
      </c>
      <c r="F632">
        <v>0</v>
      </c>
      <c r="I632" s="929"/>
      <c r="M632" s="930"/>
    </row>
    <row r="633" spans="1:21" x14ac:dyDescent="0.2">
      <c r="A633">
        <v>1849047840</v>
      </c>
      <c r="B633" t="s">
        <v>1995</v>
      </c>
      <c r="C633">
        <v>0</v>
      </c>
      <c r="D633">
        <v>0</v>
      </c>
      <c r="E633">
        <v>0</v>
      </c>
      <c r="F633">
        <v>0</v>
      </c>
    </row>
    <row r="634" spans="1:21" x14ac:dyDescent="0.2">
      <c r="A634">
        <v>1849999110</v>
      </c>
      <c r="B634" t="s">
        <v>3036</v>
      </c>
      <c r="C634">
        <v>0</v>
      </c>
      <c r="D634">
        <v>0</v>
      </c>
      <c r="E634">
        <v>0</v>
      </c>
      <c r="F634">
        <v>0</v>
      </c>
    </row>
    <row r="635" spans="1:21" x14ac:dyDescent="0.2">
      <c r="A635">
        <v>1851000430</v>
      </c>
      <c r="B635" t="s">
        <v>3037</v>
      </c>
      <c r="C635">
        <v>0</v>
      </c>
      <c r="D635">
        <v>0</v>
      </c>
      <c r="E635">
        <v>0</v>
      </c>
      <c r="F635">
        <v>0</v>
      </c>
    </row>
    <row r="636" spans="1:21" x14ac:dyDescent="0.2">
      <c r="A636">
        <v>1851000432</v>
      </c>
      <c r="B636" t="s">
        <v>3038</v>
      </c>
      <c r="C636" s="929">
        <v>58410</v>
      </c>
      <c r="D636" s="930">
        <v>10468.200000000001</v>
      </c>
      <c r="E636">
        <v>0</v>
      </c>
      <c r="F636" s="930">
        <v>10468.200000000001</v>
      </c>
      <c r="G636" s="930"/>
      <c r="I636" s="929"/>
      <c r="J636" s="930"/>
      <c r="L636" s="930"/>
      <c r="M636" s="930"/>
      <c r="S636" s="930"/>
      <c r="U636" s="930"/>
    </row>
    <row r="637" spans="1:21" x14ac:dyDescent="0.2">
      <c r="A637">
        <v>1878000750</v>
      </c>
      <c r="B637" t="s">
        <v>3039</v>
      </c>
      <c r="C637" s="929">
        <v>112455</v>
      </c>
      <c r="D637">
        <v>0</v>
      </c>
      <c r="E637">
        <v>0</v>
      </c>
      <c r="F637">
        <v>0</v>
      </c>
      <c r="G637" s="930"/>
      <c r="I637" s="929"/>
      <c r="M637" s="930"/>
    </row>
    <row r="638" spans="1:21" x14ac:dyDescent="0.2">
      <c r="A638">
        <v>1878000810</v>
      </c>
      <c r="B638" t="s">
        <v>3040</v>
      </c>
      <c r="C638" s="929">
        <v>22491</v>
      </c>
      <c r="D638">
        <v>0</v>
      </c>
      <c r="E638">
        <v>0</v>
      </c>
      <c r="F638">
        <v>0</v>
      </c>
      <c r="G638" s="930"/>
      <c r="I638" s="929"/>
      <c r="M638" s="930"/>
    </row>
    <row r="639" spans="1:21" x14ac:dyDescent="0.2">
      <c r="A639">
        <v>1879000780</v>
      </c>
      <c r="B639" t="s">
        <v>3041</v>
      </c>
      <c r="C639" s="929">
        <v>22491</v>
      </c>
      <c r="D639">
        <v>0</v>
      </c>
      <c r="E639">
        <v>0</v>
      </c>
      <c r="F639">
        <v>0</v>
      </c>
      <c r="G639" s="930"/>
      <c r="I639" s="929"/>
      <c r="M639" s="930"/>
    </row>
    <row r="640" spans="1:21" x14ac:dyDescent="0.2">
      <c r="A640">
        <v>1913000110</v>
      </c>
      <c r="B640" t="s">
        <v>3042</v>
      </c>
      <c r="C640" s="929">
        <v>282636</v>
      </c>
      <c r="D640" s="930">
        <v>275670.46000000002</v>
      </c>
      <c r="E640">
        <v>0</v>
      </c>
      <c r="F640" s="930">
        <v>275670.46000000002</v>
      </c>
      <c r="G640" s="930"/>
      <c r="I640" s="929"/>
      <c r="J640" s="930"/>
      <c r="L640" s="930"/>
      <c r="M640" s="930"/>
      <c r="S640" s="930"/>
      <c r="U640" s="930"/>
    </row>
    <row r="641" spans="1:21" x14ac:dyDescent="0.2">
      <c r="A641">
        <v>1913000420</v>
      </c>
      <c r="B641" t="s">
        <v>3043</v>
      </c>
      <c r="C641" s="929">
        <v>50000</v>
      </c>
      <c r="D641" s="930">
        <v>39006</v>
      </c>
      <c r="E641" s="930">
        <v>10950</v>
      </c>
      <c r="F641" s="930">
        <v>49956</v>
      </c>
      <c r="I641" s="929"/>
      <c r="J641" s="930"/>
      <c r="K641" s="930"/>
      <c r="L641" s="930"/>
      <c r="S641" s="930"/>
      <c r="U641" s="930"/>
    </row>
    <row r="642" spans="1:21" x14ac:dyDescent="0.2">
      <c r="A642">
        <v>1913000421</v>
      </c>
      <c r="B642" t="s">
        <v>3044</v>
      </c>
      <c r="C642">
        <v>0</v>
      </c>
      <c r="D642" s="930">
        <v>6000</v>
      </c>
      <c r="E642">
        <v>0</v>
      </c>
      <c r="F642" s="930">
        <v>6000</v>
      </c>
      <c r="G642" s="930"/>
      <c r="J642" s="930"/>
      <c r="L642" s="930"/>
      <c r="M642" s="930"/>
      <c r="S642" s="930"/>
      <c r="U642" s="930"/>
    </row>
    <row r="643" spans="1:21" x14ac:dyDescent="0.2">
      <c r="A643">
        <v>1913000731</v>
      </c>
      <c r="B643" t="s">
        <v>3045</v>
      </c>
      <c r="C643" s="929">
        <v>13491</v>
      </c>
      <c r="D643" s="930">
        <v>16266.48</v>
      </c>
      <c r="E643">
        <v>0</v>
      </c>
      <c r="F643" s="930">
        <v>16266.48</v>
      </c>
      <c r="G643" s="930"/>
      <c r="I643" s="929"/>
      <c r="J643" s="930"/>
      <c r="L643" s="930"/>
      <c r="M643" s="930"/>
      <c r="S643" s="930"/>
      <c r="U643" s="930"/>
    </row>
    <row r="644" spans="1:21" x14ac:dyDescent="0.2">
      <c r="A644">
        <v>1913000735</v>
      </c>
      <c r="B644" t="s">
        <v>3046</v>
      </c>
      <c r="C644" s="929">
        <v>49482</v>
      </c>
      <c r="D644" s="930">
        <v>41814</v>
      </c>
      <c r="E644">
        <v>0</v>
      </c>
      <c r="F644" s="930">
        <v>41814</v>
      </c>
      <c r="G644" s="930"/>
      <c r="I644" s="929"/>
      <c r="J644" s="930"/>
      <c r="L644" s="930"/>
      <c r="M644" s="930"/>
      <c r="S644" s="930"/>
      <c r="U644" s="930"/>
    </row>
    <row r="645" spans="1:21" x14ac:dyDescent="0.2">
      <c r="A645">
        <v>1913000750</v>
      </c>
      <c r="B645" t="s">
        <v>3047</v>
      </c>
      <c r="C645" s="929">
        <v>50000</v>
      </c>
      <c r="D645" s="930">
        <v>28074</v>
      </c>
      <c r="E645" s="930">
        <v>15616</v>
      </c>
      <c r="F645" s="930">
        <v>43690</v>
      </c>
      <c r="G645" s="930"/>
      <c r="I645" s="929"/>
      <c r="J645" s="930"/>
      <c r="K645" s="930"/>
      <c r="L645" s="930"/>
      <c r="M645" s="930"/>
      <c r="S645" s="930"/>
      <c r="U645" s="930"/>
    </row>
    <row r="646" spans="1:21" x14ac:dyDescent="0.2">
      <c r="A646">
        <v>1913100729</v>
      </c>
      <c r="B646" t="s">
        <v>3048</v>
      </c>
      <c r="C646" s="929">
        <v>7768521</v>
      </c>
      <c r="D646" s="930">
        <v>5052063.3499999996</v>
      </c>
      <c r="E646">
        <v>0</v>
      </c>
      <c r="F646" s="930">
        <v>5052063.3499999996</v>
      </c>
      <c r="G646" s="930"/>
      <c r="I646" s="929"/>
      <c r="J646" s="930"/>
      <c r="L646" s="930"/>
      <c r="M646" s="930"/>
      <c r="S646" s="930"/>
      <c r="U646" s="930"/>
    </row>
    <row r="647" spans="1:21" x14ac:dyDescent="0.2">
      <c r="A647">
        <v>1913100730</v>
      </c>
      <c r="B647" t="s">
        <v>3049</v>
      </c>
      <c r="C647" s="929">
        <v>530037</v>
      </c>
      <c r="D647" s="930">
        <v>29337</v>
      </c>
      <c r="E647">
        <v>0</v>
      </c>
      <c r="F647" s="930">
        <v>29337</v>
      </c>
      <c r="G647" s="930"/>
      <c r="I647" s="929"/>
      <c r="J647" s="930"/>
      <c r="L647" s="930"/>
      <c r="M647" s="930"/>
      <c r="S647" s="930"/>
      <c r="U647" s="930"/>
    </row>
    <row r="648" spans="1:21" x14ac:dyDescent="0.2">
      <c r="A648">
        <v>1913100750</v>
      </c>
      <c r="B648" t="s">
        <v>3050</v>
      </c>
      <c r="C648">
        <v>0</v>
      </c>
      <c r="D648" s="930">
        <v>181917</v>
      </c>
      <c r="E648">
        <v>0</v>
      </c>
      <c r="F648" s="930">
        <v>181917</v>
      </c>
      <c r="G648" s="930"/>
      <c r="J648" s="930"/>
      <c r="L648" s="930"/>
      <c r="M648" s="930"/>
      <c r="S648" s="930"/>
      <c r="U648" s="930"/>
    </row>
    <row r="649" spans="1:21" x14ac:dyDescent="0.2">
      <c r="A649">
        <v>1913200770</v>
      </c>
      <c r="B649" t="s">
        <v>3051</v>
      </c>
      <c r="C649" s="929">
        <v>63729</v>
      </c>
      <c r="D649" s="930">
        <v>30297.83</v>
      </c>
      <c r="E649">
        <v>0</v>
      </c>
      <c r="F649" s="930">
        <v>30297.83</v>
      </c>
      <c r="G649" s="930"/>
      <c r="I649" s="929"/>
      <c r="J649" s="930"/>
      <c r="L649" s="930"/>
      <c r="M649" s="930"/>
      <c r="S649" s="930"/>
      <c r="U649" s="930"/>
    </row>
    <row r="650" spans="1:21" x14ac:dyDescent="0.2">
      <c r="A650">
        <v>1913300770</v>
      </c>
      <c r="B650" t="s">
        <v>3052</v>
      </c>
      <c r="C650" s="929">
        <v>224910</v>
      </c>
      <c r="D650">
        <v>0</v>
      </c>
      <c r="E650">
        <v>0</v>
      </c>
      <c r="F650">
        <v>0</v>
      </c>
      <c r="G650" s="930"/>
      <c r="I650" s="929"/>
      <c r="M650" s="930"/>
    </row>
    <row r="651" spans="1:21" x14ac:dyDescent="0.2">
      <c r="A651">
        <v>1938000410</v>
      </c>
      <c r="B651" t="s">
        <v>3053</v>
      </c>
      <c r="C651" s="929">
        <v>23841</v>
      </c>
      <c r="D651" s="930">
        <v>23850</v>
      </c>
      <c r="E651">
        <v>0</v>
      </c>
      <c r="F651" s="930">
        <v>23850</v>
      </c>
      <c r="I651" s="929"/>
      <c r="J651" s="930"/>
      <c r="L651" s="930"/>
      <c r="M651" s="930"/>
      <c r="S651" s="930"/>
      <c r="U651" s="930"/>
    </row>
    <row r="652" spans="1:21" x14ac:dyDescent="0.2">
      <c r="A652">
        <v>1938000420</v>
      </c>
      <c r="B652" t="s">
        <v>3054</v>
      </c>
      <c r="C652">
        <v>0</v>
      </c>
      <c r="D652">
        <v>0</v>
      </c>
      <c r="E652">
        <v>0</v>
      </c>
      <c r="F652">
        <v>0</v>
      </c>
    </row>
    <row r="653" spans="1:21" x14ac:dyDescent="0.2">
      <c r="A653">
        <v>1938000431</v>
      </c>
      <c r="B653" t="s">
        <v>896</v>
      </c>
      <c r="C653">
        <v>729</v>
      </c>
      <c r="D653">
        <v>783.47</v>
      </c>
      <c r="E653">
        <v>0</v>
      </c>
      <c r="F653">
        <v>783.47</v>
      </c>
    </row>
    <row r="654" spans="1:21" x14ac:dyDescent="0.2">
      <c r="A654">
        <v>1972000694</v>
      </c>
      <c r="B654" t="s">
        <v>898</v>
      </c>
      <c r="C654" s="929">
        <v>946224</v>
      </c>
      <c r="D654" s="930">
        <v>867722.25</v>
      </c>
      <c r="E654">
        <v>0</v>
      </c>
      <c r="F654" s="930">
        <v>867722.25</v>
      </c>
      <c r="G654" s="930"/>
      <c r="I654" s="929"/>
      <c r="J654" s="930"/>
      <c r="L654" s="930"/>
      <c r="M654" s="930"/>
      <c r="S654" s="930"/>
      <c r="U654" s="930"/>
    </row>
    <row r="655" spans="1:21" x14ac:dyDescent="0.2">
      <c r="A655">
        <v>1972000695</v>
      </c>
      <c r="B655" t="s">
        <v>899</v>
      </c>
      <c r="C655" s="929">
        <v>694314</v>
      </c>
      <c r="D655" s="930">
        <v>583566.01</v>
      </c>
      <c r="E655">
        <v>0</v>
      </c>
      <c r="F655" s="930">
        <v>583566.01</v>
      </c>
      <c r="G655" s="930"/>
      <c r="I655" s="929"/>
      <c r="J655" s="930"/>
      <c r="L655" s="930"/>
      <c r="M655" s="930"/>
      <c r="S655" s="930"/>
      <c r="U655" s="930"/>
    </row>
    <row r="656" spans="1:21" x14ac:dyDescent="0.2">
      <c r="A656">
        <v>1972000696</v>
      </c>
      <c r="B656" t="s">
        <v>900</v>
      </c>
      <c r="C656" s="929">
        <v>99243</v>
      </c>
      <c r="D656" s="930">
        <v>87063.39</v>
      </c>
      <c r="E656">
        <v>0</v>
      </c>
      <c r="F656" s="930">
        <v>87063.39</v>
      </c>
      <c r="G656" s="930"/>
      <c r="I656" s="929"/>
      <c r="J656" s="930"/>
      <c r="L656" s="930"/>
      <c r="M656" s="930"/>
      <c r="S656" s="930"/>
      <c r="U656" s="930"/>
    </row>
    <row r="657" spans="1:21" x14ac:dyDescent="0.2">
      <c r="A657">
        <v>1972000720</v>
      </c>
      <c r="B657" t="s">
        <v>3055</v>
      </c>
      <c r="C657">
        <v>0</v>
      </c>
      <c r="D657">
        <v>0</v>
      </c>
      <c r="E657">
        <v>0</v>
      </c>
      <c r="F657">
        <v>0</v>
      </c>
    </row>
    <row r="658" spans="1:21" x14ac:dyDescent="0.2">
      <c r="A658">
        <v>1973000770</v>
      </c>
      <c r="B658" t="s">
        <v>3056</v>
      </c>
      <c r="C658" s="929">
        <v>306873</v>
      </c>
      <c r="D658" s="930">
        <v>147320.42000000001</v>
      </c>
      <c r="E658">
        <v>0</v>
      </c>
      <c r="F658" s="930">
        <v>147320.42000000001</v>
      </c>
      <c r="G658" s="930"/>
      <c r="I658" s="929"/>
      <c r="J658" s="930"/>
      <c r="L658" s="930"/>
      <c r="M658" s="930"/>
      <c r="S658" s="930"/>
      <c r="U658" s="930"/>
    </row>
    <row r="659" spans="1:21" x14ac:dyDescent="0.2">
      <c r="A659">
        <v>1973100750</v>
      </c>
      <c r="B659" t="s">
        <v>3057</v>
      </c>
      <c r="C659" s="929">
        <v>127449</v>
      </c>
      <c r="D659">
        <v>0</v>
      </c>
      <c r="E659">
        <v>0</v>
      </c>
      <c r="F659">
        <v>0</v>
      </c>
      <c r="G659" s="930"/>
      <c r="I659" s="929"/>
      <c r="M659" s="930"/>
    </row>
    <row r="660" spans="1:21" x14ac:dyDescent="0.2">
      <c r="A660">
        <v>1974000750</v>
      </c>
      <c r="B660" t="s">
        <v>3058</v>
      </c>
      <c r="C660" s="929">
        <v>108202</v>
      </c>
      <c r="D660" s="930">
        <v>74700</v>
      </c>
      <c r="E660" s="930">
        <v>13321</v>
      </c>
      <c r="F660" s="930">
        <v>88021</v>
      </c>
      <c r="G660" s="930"/>
      <c r="I660" s="929"/>
      <c r="J660" s="930"/>
      <c r="K660" s="930"/>
      <c r="L660" s="930"/>
      <c r="M660" s="930"/>
      <c r="S660" s="930"/>
      <c r="U660" s="930"/>
    </row>
    <row r="661" spans="1:21" x14ac:dyDescent="0.2">
      <c r="A661">
        <v>1993000750</v>
      </c>
      <c r="B661" t="s">
        <v>3059</v>
      </c>
      <c r="C661" s="929">
        <v>224910</v>
      </c>
      <c r="D661" s="930">
        <v>23400</v>
      </c>
      <c r="E661">
        <v>0</v>
      </c>
      <c r="F661" s="930">
        <v>23400</v>
      </c>
      <c r="G661" s="930"/>
      <c r="I661" s="929"/>
      <c r="J661" s="930"/>
      <c r="L661" s="930"/>
      <c r="M661" s="930"/>
      <c r="S661" s="930"/>
      <c r="U661" s="930"/>
    </row>
    <row r="662" spans="1:21" x14ac:dyDescent="0.2">
      <c r="A662">
        <v>1993000780</v>
      </c>
      <c r="B662" t="s">
        <v>3060</v>
      </c>
      <c r="C662" s="929">
        <v>599760</v>
      </c>
      <c r="D662" s="930">
        <v>815850.48</v>
      </c>
      <c r="E662">
        <v>0</v>
      </c>
      <c r="F662" s="930">
        <v>815850.48</v>
      </c>
      <c r="G662" s="930"/>
      <c r="I662" s="929"/>
      <c r="J662" s="930"/>
      <c r="L662" s="930"/>
      <c r="M662" s="930"/>
      <c r="S662" s="930"/>
      <c r="U662" s="930"/>
    </row>
    <row r="663" spans="1:21" x14ac:dyDescent="0.2">
      <c r="A663">
        <v>1993001780</v>
      </c>
      <c r="B663" t="s">
        <v>3061</v>
      </c>
      <c r="C663">
        <v>0</v>
      </c>
      <c r="D663" s="930">
        <v>289230</v>
      </c>
      <c r="E663">
        <v>0</v>
      </c>
      <c r="F663" s="930">
        <v>289230</v>
      </c>
      <c r="G663" s="930"/>
      <c r="J663" s="930"/>
      <c r="L663" s="930"/>
      <c r="M663" s="930"/>
      <c r="S663" s="930"/>
      <c r="U663" s="930"/>
    </row>
    <row r="664" spans="1:21" x14ac:dyDescent="0.2">
      <c r="A664">
        <v>1994000970</v>
      </c>
      <c r="B664" t="s">
        <v>3062</v>
      </c>
      <c r="C664" s="929">
        <v>6750</v>
      </c>
      <c r="D664" s="930">
        <v>4000</v>
      </c>
      <c r="E664">
        <v>0</v>
      </c>
      <c r="F664" s="930">
        <v>4000</v>
      </c>
      <c r="G664" s="930"/>
      <c r="I664" s="929"/>
      <c r="J664" s="930"/>
      <c r="L664" s="930"/>
      <c r="M664" s="930"/>
      <c r="S664" s="930"/>
      <c r="U664" s="930"/>
    </row>
    <row r="665" spans="1:21" x14ac:dyDescent="0.2">
      <c r="A665">
        <v>1995000860</v>
      </c>
      <c r="B665" t="s">
        <v>393</v>
      </c>
      <c r="C665" s="929">
        <v>3426129</v>
      </c>
      <c r="D665" s="930">
        <v>3912445.35</v>
      </c>
      <c r="E665">
        <v>0</v>
      </c>
      <c r="F665" s="930">
        <v>3912445.35</v>
      </c>
      <c r="G665" s="930"/>
      <c r="I665" s="929"/>
      <c r="J665" s="930"/>
      <c r="L665" s="930"/>
      <c r="M665" s="930"/>
      <c r="S665" s="930"/>
      <c r="U665" s="930"/>
    </row>
    <row r="666" spans="1:21" x14ac:dyDescent="0.2">
      <c r="A666">
        <v>1996000110</v>
      </c>
      <c r="B666" t="s">
        <v>3063</v>
      </c>
      <c r="C666" s="929">
        <v>2893887</v>
      </c>
      <c r="D666">
        <v>0</v>
      </c>
      <c r="E666">
        <v>0</v>
      </c>
      <c r="F666">
        <v>0</v>
      </c>
      <c r="G666" s="930"/>
      <c r="I666" s="929"/>
      <c r="M666" s="930"/>
    </row>
    <row r="667" spans="1:21" x14ac:dyDescent="0.2">
      <c r="A667">
        <v>1996000220</v>
      </c>
      <c r="B667" t="s">
        <v>3064</v>
      </c>
      <c r="C667" s="929">
        <v>720981</v>
      </c>
      <c r="D667">
        <v>0</v>
      </c>
      <c r="E667">
        <v>0</v>
      </c>
      <c r="F667">
        <v>0</v>
      </c>
      <c r="G667" s="930"/>
      <c r="I667" s="929"/>
      <c r="M667" s="930"/>
    </row>
    <row r="668" spans="1:21" x14ac:dyDescent="0.2">
      <c r="A668">
        <v>1996000310</v>
      </c>
      <c r="B668" t="s">
        <v>3063</v>
      </c>
      <c r="C668">
        <v>0</v>
      </c>
      <c r="D668" s="930">
        <v>2025208.36</v>
      </c>
      <c r="E668">
        <v>0</v>
      </c>
      <c r="F668" s="930">
        <v>2025208.36</v>
      </c>
      <c r="G668" s="930"/>
      <c r="J668" s="930"/>
      <c r="L668" s="930"/>
      <c r="M668" s="930"/>
      <c r="S668" s="930"/>
      <c r="U668" s="930"/>
    </row>
    <row r="669" spans="1:21" x14ac:dyDescent="0.2">
      <c r="A669">
        <v>1999000400</v>
      </c>
      <c r="B669" t="s">
        <v>3065</v>
      </c>
      <c r="C669">
        <v>0</v>
      </c>
      <c r="D669">
        <v>0</v>
      </c>
      <c r="E669">
        <v>0</v>
      </c>
      <c r="F669">
        <v>0</v>
      </c>
    </row>
    <row r="670" spans="1:21" x14ac:dyDescent="0.2">
      <c r="A670">
        <v>1999000910</v>
      </c>
      <c r="B670" t="s">
        <v>3066</v>
      </c>
      <c r="C670" s="929">
        <v>1213164</v>
      </c>
      <c r="D670">
        <v>0</v>
      </c>
      <c r="E670">
        <v>0</v>
      </c>
      <c r="F670">
        <v>0</v>
      </c>
      <c r="G670" s="930"/>
      <c r="I670" s="929"/>
      <c r="M670" s="930"/>
    </row>
  </sheetData>
  <pageMargins left="0.7" right="0.7" top="0.75" bottom="0.75" header="0.3" footer="0.3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rightToLeft="1" zoomScaleNormal="100" workbookViewId="0">
      <selection activeCell="H5" sqref="H5"/>
    </sheetView>
  </sheetViews>
  <sheetFormatPr defaultRowHeight="12.75" x14ac:dyDescent="0.2"/>
  <cols>
    <col min="5" max="5" width="13.85546875" bestFit="1" customWidth="1"/>
    <col min="6" max="6" width="14.140625" bestFit="1" customWidth="1"/>
  </cols>
  <sheetData>
    <row r="2" spans="2:9" x14ac:dyDescent="0.2">
      <c r="B2" s="196"/>
    </row>
    <row r="4" spans="2:9" x14ac:dyDescent="0.2">
      <c r="C4" s="196"/>
      <c r="D4" s="196"/>
      <c r="E4" s="196" t="s">
        <v>3152</v>
      </c>
      <c r="F4" s="196" t="s">
        <v>3153</v>
      </c>
      <c r="G4" s="196" t="s">
        <v>3154</v>
      </c>
    </row>
    <row r="5" spans="2:9" x14ac:dyDescent="0.2">
      <c r="D5" s="196" t="s">
        <v>3150</v>
      </c>
      <c r="E5" s="1062">
        <v>5000000</v>
      </c>
      <c r="F5">
        <f>E5/120*6</f>
        <v>250000</v>
      </c>
      <c r="G5">
        <f>0.03*E5*0.5</f>
        <v>75000</v>
      </c>
    </row>
    <row r="6" spans="2:9" x14ac:dyDescent="0.2">
      <c r="D6" s="196" t="s">
        <v>3151</v>
      </c>
      <c r="E6">
        <v>10000000</v>
      </c>
      <c r="F6">
        <f>E6/120*6</f>
        <v>500000</v>
      </c>
      <c r="G6">
        <f>0.03*E6*0.5</f>
        <v>150000</v>
      </c>
    </row>
    <row r="9" spans="2:9" x14ac:dyDescent="0.2">
      <c r="E9" s="196" t="s">
        <v>3155</v>
      </c>
      <c r="F9">
        <f>F5+G5</f>
        <v>325000</v>
      </c>
    </row>
    <row r="10" spans="2:9" x14ac:dyDescent="0.2">
      <c r="E10" s="196" t="s">
        <v>3156</v>
      </c>
      <c r="F10">
        <f>F9*2+F6+G6</f>
        <v>1300000</v>
      </c>
    </row>
    <row r="12" spans="2:9" x14ac:dyDescent="0.2">
      <c r="H12">
        <v>500000</v>
      </c>
      <c r="I12">
        <v>150000</v>
      </c>
    </row>
    <row r="13" spans="2:9" x14ac:dyDescent="0.2">
      <c r="H13">
        <v>500000</v>
      </c>
      <c r="I13">
        <v>150000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rightToLeft="1" workbookViewId="0">
      <selection activeCell="E8" sqref="E8"/>
    </sheetView>
  </sheetViews>
  <sheetFormatPr defaultRowHeight="12.75" x14ac:dyDescent="0.2"/>
  <cols>
    <col min="1" max="1" width="3.7109375" customWidth="1"/>
    <col min="2" max="2" width="11.7109375" bestFit="1" customWidth="1"/>
    <col min="3" max="3" width="39.7109375" bestFit="1" customWidth="1"/>
    <col min="4" max="4" width="11.5703125" bestFit="1" customWidth="1"/>
    <col min="5" max="6" width="10.140625" bestFit="1" customWidth="1"/>
  </cols>
  <sheetData>
    <row r="2" spans="1:7" ht="15.75" x14ac:dyDescent="0.25">
      <c r="A2" s="104"/>
      <c r="B2" s="104"/>
      <c r="C2" s="104" t="s">
        <v>3271</v>
      </c>
      <c r="D2" s="104"/>
      <c r="E2" s="104"/>
      <c r="F2" s="104"/>
      <c r="G2" s="104"/>
    </row>
    <row r="3" spans="1:7" ht="15.75" x14ac:dyDescent="0.25">
      <c r="A3" s="104"/>
      <c r="B3" s="104"/>
      <c r="C3" s="104"/>
      <c r="D3" s="104"/>
      <c r="E3" s="104"/>
      <c r="F3" s="104"/>
      <c r="G3" s="104"/>
    </row>
    <row r="4" spans="1:7" ht="15.75" x14ac:dyDescent="0.25">
      <c r="A4" s="104"/>
      <c r="B4" s="1128" t="s">
        <v>3273</v>
      </c>
      <c r="C4" s="104"/>
      <c r="D4" s="104"/>
      <c r="E4" s="104"/>
      <c r="F4" s="104"/>
      <c r="G4" s="104"/>
    </row>
    <row r="5" spans="1:7" ht="15.75" x14ac:dyDescent="0.25">
      <c r="A5" s="104"/>
      <c r="B5" s="1128" t="s">
        <v>3274</v>
      </c>
      <c r="C5" s="104"/>
      <c r="D5" s="104">
        <v>2017</v>
      </c>
      <c r="E5" s="104">
        <v>2018</v>
      </c>
      <c r="F5" s="104">
        <v>2019</v>
      </c>
      <c r="G5" s="104"/>
    </row>
    <row r="6" spans="1:7" ht="15.75" x14ac:dyDescent="0.25">
      <c r="A6" s="104"/>
      <c r="B6" s="1129">
        <v>111100.1</v>
      </c>
      <c r="C6" s="1130" t="s">
        <v>1150</v>
      </c>
      <c r="D6" s="753">
        <v>12401</v>
      </c>
      <c r="E6" s="1131">
        <v>13529</v>
      </c>
      <c r="F6" s="1131">
        <v>14120</v>
      </c>
      <c r="G6" s="104"/>
    </row>
    <row r="7" spans="1:7" ht="15.75" x14ac:dyDescent="0.25">
      <c r="A7" s="104"/>
      <c r="B7" s="1129">
        <v>111200.1</v>
      </c>
      <c r="C7" s="1130" t="s">
        <v>1151</v>
      </c>
      <c r="D7" s="753">
        <v>2210</v>
      </c>
      <c r="E7" s="1131">
        <v>2277</v>
      </c>
      <c r="F7" s="1131">
        <v>2500</v>
      </c>
      <c r="G7" s="104"/>
    </row>
    <row r="8" spans="1:7" ht="15.75" x14ac:dyDescent="0.25">
      <c r="A8" s="104"/>
      <c r="B8" s="1129">
        <v>1111300.1000000001</v>
      </c>
      <c r="C8" s="1130" t="s">
        <v>3219</v>
      </c>
      <c r="D8" s="753"/>
      <c r="E8" s="1131">
        <v>700</v>
      </c>
      <c r="F8" s="1131">
        <v>700</v>
      </c>
      <c r="G8" s="104"/>
    </row>
    <row r="9" spans="1:7" ht="15.75" x14ac:dyDescent="0.25">
      <c r="A9" s="104"/>
      <c r="B9" s="104"/>
      <c r="C9" s="104"/>
      <c r="D9" s="1136">
        <f>SUM(D6:D8)</f>
        <v>14611</v>
      </c>
      <c r="E9" s="1136">
        <f>SUM(E6:E8)</f>
        <v>16506</v>
      </c>
      <c r="F9" s="1136">
        <f>SUM(F6:F8)</f>
        <v>17320</v>
      </c>
      <c r="G9" s="104"/>
    </row>
    <row r="10" spans="1:7" ht="15.75" x14ac:dyDescent="0.25">
      <c r="A10" s="104"/>
      <c r="B10" s="1133" t="s">
        <v>3275</v>
      </c>
      <c r="C10" s="104"/>
      <c r="D10" s="104"/>
      <c r="E10" s="104"/>
      <c r="F10" s="104"/>
      <c r="G10" s="104"/>
    </row>
    <row r="11" spans="1:7" ht="15.75" x14ac:dyDescent="0.25">
      <c r="A11" s="104"/>
      <c r="B11" s="104" t="s">
        <v>3139</v>
      </c>
      <c r="C11" s="104"/>
      <c r="D11" s="1132">
        <v>12401</v>
      </c>
      <c r="E11" s="104"/>
      <c r="F11" s="104"/>
      <c r="G11" s="104"/>
    </row>
    <row r="12" spans="1:7" ht="15.75" x14ac:dyDescent="0.25">
      <c r="A12" s="104"/>
      <c r="B12" s="104" t="s">
        <v>3276</v>
      </c>
      <c r="C12" s="104"/>
      <c r="D12" s="1132">
        <f>D11*2.18/100</f>
        <v>270.34179999999998</v>
      </c>
      <c r="E12" s="104"/>
      <c r="F12" s="104"/>
      <c r="G12" s="104"/>
    </row>
    <row r="13" spans="1:7" ht="31.5" customHeight="1" x14ac:dyDescent="0.25">
      <c r="A13" s="104"/>
      <c r="B13" s="1475" t="s">
        <v>3277</v>
      </c>
      <c r="C13" s="1475"/>
      <c r="D13" s="1132">
        <f>500*100*35.72*0.8*0.6/1000</f>
        <v>857.28</v>
      </c>
      <c r="E13" s="104"/>
      <c r="F13" s="104"/>
      <c r="G13" s="104"/>
    </row>
    <row r="14" spans="1:7" ht="15.75" x14ac:dyDescent="0.25">
      <c r="A14" s="104"/>
      <c r="B14" s="104"/>
      <c r="C14" s="104"/>
      <c r="D14" s="1132"/>
      <c r="E14" s="104"/>
      <c r="F14" s="104"/>
      <c r="G14" s="104"/>
    </row>
    <row r="15" spans="1:7" ht="15.75" x14ac:dyDescent="0.25">
      <c r="A15" s="104"/>
      <c r="B15" s="104"/>
      <c r="C15" s="104"/>
      <c r="D15" s="1135">
        <f>SUM(D11:D14)</f>
        <v>13528.621800000001</v>
      </c>
      <c r="E15" s="104"/>
      <c r="F15" s="104"/>
      <c r="G15" s="104"/>
    </row>
    <row r="16" spans="1:7" ht="15.75" x14ac:dyDescent="0.25">
      <c r="A16" s="104"/>
      <c r="B16" s="1134" t="s">
        <v>3278</v>
      </c>
      <c r="C16" s="104"/>
      <c r="D16" s="104"/>
      <c r="E16" s="104"/>
      <c r="F16" s="104"/>
      <c r="G16" s="104"/>
    </row>
    <row r="17" spans="1:7" ht="15.75" x14ac:dyDescent="0.25">
      <c r="A17" s="104"/>
      <c r="B17" s="104" t="s">
        <v>113</v>
      </c>
      <c r="C17" s="104"/>
      <c r="D17" s="104">
        <v>13529</v>
      </c>
      <c r="E17" s="104"/>
      <c r="F17" s="104"/>
      <c r="G17" s="104"/>
    </row>
    <row r="18" spans="1:7" ht="15.75" x14ac:dyDescent="0.25">
      <c r="A18" s="104"/>
      <c r="B18" s="104" t="s">
        <v>3280</v>
      </c>
      <c r="C18" s="104"/>
      <c r="D18" s="1132">
        <f>100*0.8*0.8*35.72*140/1000</f>
        <v>320.05119999999999</v>
      </c>
      <c r="E18" s="104"/>
      <c r="F18" s="104"/>
      <c r="G18" s="104"/>
    </row>
    <row r="19" spans="1:7" ht="15.75" x14ac:dyDescent="0.25">
      <c r="A19" s="104"/>
      <c r="B19" s="104" t="s">
        <v>3279</v>
      </c>
      <c r="C19" s="104"/>
      <c r="D19" s="104">
        <f>D17*0.02</f>
        <v>270.58</v>
      </c>
      <c r="E19" s="104"/>
      <c r="F19" s="104"/>
      <c r="G19" s="104"/>
    </row>
    <row r="20" spans="1:7" ht="15.75" x14ac:dyDescent="0.25">
      <c r="A20" s="104"/>
      <c r="B20" s="104"/>
      <c r="C20" s="104"/>
      <c r="D20" s="104"/>
      <c r="E20" s="104"/>
      <c r="F20" s="104"/>
      <c r="G20" s="104"/>
    </row>
    <row r="21" spans="1:7" ht="15.75" x14ac:dyDescent="0.25">
      <c r="A21" s="104"/>
      <c r="B21" s="104"/>
      <c r="C21" s="104"/>
      <c r="D21" s="1135">
        <f>SUM(D17:D19)</f>
        <v>14119.6312</v>
      </c>
      <c r="E21" s="104"/>
      <c r="F21" s="104"/>
      <c r="G21" s="104"/>
    </row>
    <row r="22" spans="1:7" ht="15.75" x14ac:dyDescent="0.25">
      <c r="A22" s="104"/>
      <c r="B22" s="104"/>
      <c r="C22" s="104"/>
      <c r="D22" s="104"/>
      <c r="E22" s="104"/>
      <c r="F22" s="104"/>
      <c r="G22" s="104"/>
    </row>
    <row r="23" spans="1:7" ht="15.75" x14ac:dyDescent="0.25">
      <c r="A23" s="104"/>
      <c r="B23" s="1134" t="s">
        <v>3281</v>
      </c>
      <c r="C23" s="104"/>
      <c r="D23" s="104"/>
      <c r="E23" s="104"/>
      <c r="F23" s="104"/>
      <c r="G23" s="104"/>
    </row>
    <row r="24" spans="1:7" ht="15.75" x14ac:dyDescent="0.25">
      <c r="A24" s="104"/>
      <c r="B24" s="104"/>
      <c r="C24" s="104"/>
      <c r="D24" s="104"/>
      <c r="E24" s="104"/>
      <c r="F24" s="104"/>
      <c r="G24" s="104"/>
    </row>
    <row r="25" spans="1:7" ht="15.75" x14ac:dyDescent="0.25">
      <c r="A25" s="104"/>
      <c r="B25" s="104" t="s">
        <v>3283</v>
      </c>
      <c r="C25" s="104"/>
      <c r="D25" s="104"/>
      <c r="E25" s="104"/>
      <c r="F25" s="104"/>
      <c r="G25" s="104"/>
    </row>
    <row r="26" spans="1:7" ht="15.75" x14ac:dyDescent="0.25">
      <c r="A26" s="104"/>
      <c r="B26" s="104" t="s">
        <v>3282</v>
      </c>
      <c r="C26" s="104"/>
      <c r="D26" s="104"/>
      <c r="E26" s="104"/>
      <c r="F26" s="104"/>
      <c r="G26" s="104"/>
    </row>
    <row r="27" spans="1:7" ht="15.75" x14ac:dyDescent="0.25">
      <c r="A27" s="104"/>
      <c r="B27" s="104"/>
      <c r="C27" s="104"/>
      <c r="D27" s="104"/>
      <c r="E27" s="104"/>
      <c r="F27" s="104"/>
      <c r="G27" s="104"/>
    </row>
    <row r="28" spans="1:7" ht="15.75" x14ac:dyDescent="0.25">
      <c r="A28" s="104"/>
      <c r="B28" s="1137" t="s">
        <v>3213</v>
      </c>
      <c r="C28" s="104"/>
      <c r="D28" s="104"/>
      <c r="E28" s="104"/>
      <c r="F28" s="104"/>
      <c r="G28" s="104"/>
    </row>
    <row r="29" spans="1:7" ht="15.75" x14ac:dyDescent="0.25">
      <c r="A29" s="104"/>
      <c r="B29" s="104" t="s">
        <v>3284</v>
      </c>
      <c r="C29" s="104"/>
      <c r="D29" s="104"/>
      <c r="E29" s="104"/>
      <c r="F29" s="104"/>
      <c r="G29" s="104"/>
    </row>
    <row r="30" spans="1:7" ht="15.75" x14ac:dyDescent="0.25">
      <c r="A30" s="104"/>
      <c r="B30" s="104" t="s">
        <v>3285</v>
      </c>
      <c r="C30" s="104"/>
      <c r="D30" s="104"/>
      <c r="E30" s="104"/>
      <c r="F30" s="104"/>
      <c r="G30" s="104"/>
    </row>
    <row r="31" spans="1:7" ht="15.75" x14ac:dyDescent="0.25">
      <c r="A31" s="104"/>
      <c r="B31" s="104"/>
      <c r="C31" s="104"/>
      <c r="D31" s="104"/>
      <c r="E31" s="104"/>
      <c r="F31" s="104"/>
      <c r="G31" s="104"/>
    </row>
    <row r="32" spans="1:7" ht="15.75" x14ac:dyDescent="0.25">
      <c r="A32" s="104"/>
      <c r="B32" s="672" t="s">
        <v>1165</v>
      </c>
      <c r="C32" s="104"/>
      <c r="D32" s="104"/>
      <c r="E32" s="104"/>
      <c r="F32" s="104"/>
      <c r="G32" s="104"/>
    </row>
    <row r="33" spans="1:7" ht="15.75" x14ac:dyDescent="0.25">
      <c r="A33" s="104"/>
      <c r="B33" s="104"/>
      <c r="C33" s="104"/>
      <c r="D33" s="104"/>
      <c r="E33" s="104"/>
      <c r="F33" s="104"/>
      <c r="G33" s="104"/>
    </row>
    <row r="34" spans="1:7" ht="15.75" x14ac:dyDescent="0.25">
      <c r="A34" s="104"/>
      <c r="B34" s="104" t="s">
        <v>3286</v>
      </c>
      <c r="C34" s="104"/>
      <c r="D34" s="104"/>
      <c r="E34" s="104"/>
      <c r="F34" s="104"/>
      <c r="G34" s="104"/>
    </row>
    <row r="35" spans="1:7" x14ac:dyDescent="0.2">
      <c r="B35" s="196" t="s">
        <v>3287</v>
      </c>
    </row>
  </sheetData>
  <mergeCells count="1">
    <mergeCell ref="B13:C13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rightToLeft="1" topLeftCell="A13" workbookViewId="0">
      <selection activeCell="H43" sqref="H43"/>
    </sheetView>
  </sheetViews>
  <sheetFormatPr defaultRowHeight="12.75" x14ac:dyDescent="0.2"/>
  <cols>
    <col min="1" max="1" width="10.5703125" bestFit="1" customWidth="1"/>
    <col min="2" max="2" width="23.85546875" customWidth="1"/>
    <col min="3" max="3" width="11.28515625" bestFit="1" customWidth="1"/>
    <col min="4" max="4" width="10.5703125" hidden="1" customWidth="1"/>
    <col min="5" max="5" width="9.5703125" hidden="1" customWidth="1"/>
    <col min="6" max="6" width="10.5703125" bestFit="1" customWidth="1"/>
    <col min="7" max="7" width="10.42578125" customWidth="1"/>
    <col min="8" max="8" width="9.85546875" bestFit="1" customWidth="1"/>
    <col min="9" max="9" width="12" bestFit="1" customWidth="1"/>
  </cols>
  <sheetData>
    <row r="2" spans="1:9" ht="15.75" x14ac:dyDescent="0.25">
      <c r="A2" s="1476" t="s">
        <v>3297</v>
      </c>
      <c r="B2" s="1476"/>
      <c r="C2" s="1476"/>
      <c r="D2" s="1476"/>
      <c r="E2" s="1476"/>
      <c r="F2" s="1476"/>
      <c r="G2" s="1476"/>
      <c r="H2" s="1476"/>
      <c r="I2" s="1476"/>
    </row>
    <row r="3" spans="1:9" x14ac:dyDescent="0.2">
      <c r="A3" s="1163"/>
      <c r="B3" s="1164"/>
      <c r="C3" s="1164"/>
      <c r="D3" s="1164"/>
      <c r="E3" s="1164"/>
      <c r="F3" s="1164"/>
      <c r="G3" s="1164"/>
      <c r="H3" s="1164"/>
      <c r="I3" s="1164"/>
    </row>
    <row r="4" spans="1:9" ht="15.75" x14ac:dyDescent="0.25">
      <c r="A4" s="1134" t="s">
        <v>3298</v>
      </c>
    </row>
    <row r="5" spans="1:9" x14ac:dyDescent="0.2">
      <c r="A5" s="1165" t="s">
        <v>539</v>
      </c>
      <c r="B5" s="1165" t="s">
        <v>1147</v>
      </c>
      <c r="C5" s="1166" t="s">
        <v>541</v>
      </c>
      <c r="D5" s="472"/>
      <c r="E5" s="472"/>
      <c r="F5" s="887" t="s">
        <v>65</v>
      </c>
      <c r="G5" s="1167" t="s">
        <v>1148</v>
      </c>
      <c r="H5" s="1168" t="s">
        <v>3139</v>
      </c>
      <c r="I5" s="1169" t="s">
        <v>113</v>
      </c>
    </row>
    <row r="6" spans="1:9" x14ac:dyDescent="0.2">
      <c r="A6" s="1170" t="s">
        <v>1149</v>
      </c>
      <c r="B6" s="1171" t="s">
        <v>544</v>
      </c>
      <c r="C6" s="1166" t="s">
        <v>545</v>
      </c>
      <c r="D6" s="886"/>
      <c r="E6" s="886"/>
      <c r="F6" s="472" t="s">
        <v>545</v>
      </c>
      <c r="G6" s="1166" t="s">
        <v>547</v>
      </c>
      <c r="H6" s="1166" t="s">
        <v>547</v>
      </c>
      <c r="I6" s="1166" t="s">
        <v>548</v>
      </c>
    </row>
    <row r="7" spans="1:9" x14ac:dyDescent="0.2">
      <c r="A7" s="1172">
        <v>413000.42</v>
      </c>
      <c r="B7" s="1173" t="s">
        <v>3214</v>
      </c>
      <c r="C7" s="1174" t="s">
        <v>3299</v>
      </c>
      <c r="D7" s="1175"/>
      <c r="E7" s="1175"/>
      <c r="F7" s="1176" t="s">
        <v>3299</v>
      </c>
      <c r="G7" s="1174" t="s">
        <v>3299</v>
      </c>
      <c r="H7" s="1174" t="s">
        <v>3299</v>
      </c>
      <c r="I7" s="1177">
        <v>20000</v>
      </c>
    </row>
    <row r="8" spans="1:9" x14ac:dyDescent="0.2">
      <c r="A8" s="1172">
        <v>413100.21</v>
      </c>
      <c r="B8" s="1178" t="s">
        <v>1309</v>
      </c>
      <c r="C8" s="1179">
        <v>3417000</v>
      </c>
      <c r="D8" s="1179"/>
      <c r="E8" s="1179"/>
      <c r="F8" s="1179">
        <f>C8</f>
        <v>3417000</v>
      </c>
      <c r="G8" s="1179">
        <v>1300000</v>
      </c>
      <c r="H8" s="1177">
        <v>3690000</v>
      </c>
      <c r="I8" s="1177">
        <v>3690000</v>
      </c>
    </row>
    <row r="9" spans="1:9" x14ac:dyDescent="0.2">
      <c r="A9" s="1172">
        <v>413101.21</v>
      </c>
      <c r="B9" s="1178" t="s">
        <v>1310</v>
      </c>
      <c r="C9" s="1179">
        <v>3000</v>
      </c>
      <c r="D9" s="1179"/>
      <c r="E9" s="1179"/>
      <c r="F9" s="1179">
        <v>5133</v>
      </c>
      <c r="G9" s="1179">
        <v>0</v>
      </c>
      <c r="H9" s="1177">
        <v>4348</v>
      </c>
      <c r="I9" s="1177">
        <v>4000</v>
      </c>
    </row>
    <row r="10" spans="1:9" x14ac:dyDescent="0.2">
      <c r="A10" s="1172">
        <v>413200.21</v>
      </c>
      <c r="B10" s="1178" t="s">
        <v>1311</v>
      </c>
      <c r="C10" s="1179">
        <v>1772000</v>
      </c>
      <c r="D10" s="1179"/>
      <c r="E10" s="1179"/>
      <c r="F10" s="1179">
        <f t="shared" ref="F10:F12" si="0">C10</f>
        <v>1772000</v>
      </c>
      <c r="G10" s="1179">
        <v>800000</v>
      </c>
      <c r="H10" s="1177">
        <v>1532748</v>
      </c>
      <c r="I10" s="1180">
        <v>1532750</v>
      </c>
    </row>
    <row r="11" spans="1:9" x14ac:dyDescent="0.2">
      <c r="A11" s="1172">
        <v>413300.81</v>
      </c>
      <c r="B11" s="1178" t="s">
        <v>1312</v>
      </c>
      <c r="C11" s="1179">
        <f>334000/12*9</f>
        <v>250500</v>
      </c>
      <c r="D11" s="1179"/>
      <c r="E11" s="1179"/>
      <c r="F11" s="1179">
        <v>421397</v>
      </c>
      <c r="G11" s="1179">
        <v>0</v>
      </c>
      <c r="H11" s="1177">
        <v>524861</v>
      </c>
      <c r="I11" s="1177">
        <v>525000</v>
      </c>
    </row>
    <row r="12" spans="1:9" x14ac:dyDescent="0.2">
      <c r="A12" s="1172">
        <v>413400.81</v>
      </c>
      <c r="B12" s="1178" t="s">
        <v>1313</v>
      </c>
      <c r="C12" s="1179">
        <v>5000</v>
      </c>
      <c r="D12" s="1179"/>
      <c r="E12" s="1179"/>
      <c r="F12" s="1179">
        <f t="shared" si="0"/>
        <v>5000</v>
      </c>
      <c r="G12" s="1179">
        <v>0</v>
      </c>
      <c r="H12" s="1177">
        <v>56409</v>
      </c>
      <c r="I12" s="1177">
        <v>57000</v>
      </c>
    </row>
    <row r="13" spans="1:9" x14ac:dyDescent="0.2">
      <c r="A13" s="1181">
        <v>472000.21</v>
      </c>
      <c r="B13" s="1173" t="s">
        <v>1314</v>
      </c>
      <c r="C13" s="1179">
        <v>106000</v>
      </c>
      <c r="D13" s="1179"/>
      <c r="E13" s="1179"/>
      <c r="F13" s="1179">
        <v>134412</v>
      </c>
      <c r="G13" s="1179">
        <v>0</v>
      </c>
      <c r="H13" s="1177">
        <v>5588</v>
      </c>
      <c r="I13" s="1177">
        <v>0</v>
      </c>
    </row>
    <row r="14" spans="1:9" x14ac:dyDescent="0.2">
      <c r="A14" s="1172">
        <v>472000.22</v>
      </c>
      <c r="B14" s="1178" t="s">
        <v>1315</v>
      </c>
      <c r="C14" s="1179">
        <v>93978</v>
      </c>
      <c r="D14" s="1179"/>
      <c r="E14" s="1179"/>
      <c r="F14" s="1179">
        <v>111810.66666666666</v>
      </c>
      <c r="G14" s="1179">
        <v>0</v>
      </c>
      <c r="H14" s="1177">
        <v>35487</v>
      </c>
      <c r="I14" s="1177">
        <v>15000</v>
      </c>
    </row>
    <row r="15" spans="1:9" x14ac:dyDescent="0.2">
      <c r="A15" s="1172">
        <v>472000.31</v>
      </c>
      <c r="B15" s="1178" t="s">
        <v>1316</v>
      </c>
      <c r="C15" s="1179">
        <v>55500</v>
      </c>
      <c r="D15" s="1179"/>
      <c r="E15" s="1179"/>
      <c r="F15" s="1179">
        <v>104450.66666666667</v>
      </c>
      <c r="G15" s="1179">
        <v>0</v>
      </c>
      <c r="H15" s="1177">
        <v>45861</v>
      </c>
      <c r="I15" s="1177">
        <v>46000</v>
      </c>
    </row>
    <row r="16" spans="1:9" x14ac:dyDescent="0.2">
      <c r="A16" s="1181">
        <v>472000.81</v>
      </c>
      <c r="B16" s="1173" t="s">
        <v>1317</v>
      </c>
      <c r="C16" s="1179">
        <f>50000/12*10</f>
        <v>41666.666666666672</v>
      </c>
      <c r="D16" s="1179"/>
      <c r="E16" s="1179"/>
      <c r="F16" s="1179">
        <v>0</v>
      </c>
      <c r="G16" s="1179">
        <v>0</v>
      </c>
      <c r="H16" s="1177">
        <f t="shared" ref="H16" si="1">G16/9*12</f>
        <v>0</v>
      </c>
      <c r="I16" s="1177">
        <v>0</v>
      </c>
    </row>
    <row r="17" spans="1:9" x14ac:dyDescent="0.2">
      <c r="A17" s="1477" t="s">
        <v>143</v>
      </c>
      <c r="B17" s="1478"/>
      <c r="C17" s="1182">
        <f t="shared" ref="C17:H17" si="2">SUM(C7:C16)</f>
        <v>5744644.666666667</v>
      </c>
      <c r="D17" s="1182">
        <f t="shared" si="2"/>
        <v>0</v>
      </c>
      <c r="E17" s="1182">
        <f t="shared" si="2"/>
        <v>0</v>
      </c>
      <c r="F17" s="1182">
        <f t="shared" si="2"/>
        <v>5971203.333333334</v>
      </c>
      <c r="G17" s="1182">
        <f t="shared" si="2"/>
        <v>2100000</v>
      </c>
      <c r="H17" s="1182">
        <f t="shared" si="2"/>
        <v>5895302</v>
      </c>
      <c r="I17" s="1182">
        <f>SUM(I7:I16)</f>
        <v>5889750</v>
      </c>
    </row>
    <row r="19" spans="1:9" ht="15.75" x14ac:dyDescent="0.25">
      <c r="A19" s="1134" t="s">
        <v>3300</v>
      </c>
    </row>
    <row r="20" spans="1:9" x14ac:dyDescent="0.2">
      <c r="A20" s="510">
        <v>623000.69999999995</v>
      </c>
      <c r="B20" s="473" t="s">
        <v>2069</v>
      </c>
      <c r="C20" s="1183">
        <v>80000</v>
      </c>
      <c r="D20" s="1183"/>
      <c r="E20" s="1183"/>
      <c r="F20" s="209">
        <v>85961</v>
      </c>
      <c r="G20" s="1183">
        <v>50000</v>
      </c>
      <c r="H20" s="1183">
        <v>39347</v>
      </c>
      <c r="I20" s="1183">
        <v>60000</v>
      </c>
    </row>
    <row r="21" spans="1:9" x14ac:dyDescent="0.2">
      <c r="A21" s="510">
        <v>633000.62</v>
      </c>
      <c r="B21" s="473" t="s">
        <v>600</v>
      </c>
      <c r="C21" s="1183">
        <v>635000</v>
      </c>
      <c r="D21" s="1183"/>
      <c r="E21" s="1183"/>
      <c r="F21" s="1183">
        <v>676522</v>
      </c>
      <c r="G21" s="1183">
        <v>158750</v>
      </c>
      <c r="H21" s="1183">
        <v>495382</v>
      </c>
      <c r="I21" s="1183">
        <v>250000</v>
      </c>
    </row>
    <row r="22" spans="1:9" x14ac:dyDescent="0.2">
      <c r="A22" s="510">
        <v>731000.78</v>
      </c>
      <c r="B22" s="473" t="s">
        <v>635</v>
      </c>
      <c r="C22" s="1183">
        <v>0</v>
      </c>
      <c r="D22" s="1183"/>
      <c r="E22" s="1183"/>
      <c r="F22" s="1183">
        <v>0</v>
      </c>
      <c r="G22" s="1183">
        <f>'[4]הוצאות '!H92</f>
        <v>0</v>
      </c>
      <c r="H22" s="1183">
        <f>'[4]הוצאות '!P92</f>
        <v>0</v>
      </c>
      <c r="I22" s="1183">
        <v>192000</v>
      </c>
    </row>
    <row r="23" spans="1:9" x14ac:dyDescent="0.2">
      <c r="A23" s="510">
        <v>851000.43200000003</v>
      </c>
      <c r="B23" s="519" t="s">
        <v>1705</v>
      </c>
      <c r="C23" s="1183">
        <v>77915</v>
      </c>
      <c r="D23" s="1183"/>
      <c r="E23" s="1183"/>
      <c r="F23" s="1183">
        <v>63109</v>
      </c>
      <c r="G23" s="1183">
        <v>77915</v>
      </c>
      <c r="H23" s="1183">
        <v>17279</v>
      </c>
      <c r="I23" s="1183">
        <v>77915</v>
      </c>
    </row>
    <row r="24" spans="1:9" ht="15.75" x14ac:dyDescent="0.25">
      <c r="A24" s="1184"/>
      <c r="B24" s="1185" t="s">
        <v>3301</v>
      </c>
      <c r="C24" s="1186">
        <f>SUM(C20:C23)</f>
        <v>792915</v>
      </c>
      <c r="D24" s="1186">
        <f t="shared" ref="D24:I24" si="3">SUM(D20:D23)</f>
        <v>0</v>
      </c>
      <c r="E24" s="1186">
        <f t="shared" si="3"/>
        <v>0</v>
      </c>
      <c r="F24" s="1186">
        <f t="shared" si="3"/>
        <v>825592</v>
      </c>
      <c r="G24" s="1186">
        <f t="shared" si="3"/>
        <v>286665</v>
      </c>
      <c r="H24" s="1186">
        <f t="shared" si="3"/>
        <v>552008</v>
      </c>
      <c r="I24" s="1186">
        <f t="shared" si="3"/>
        <v>579915</v>
      </c>
    </row>
    <row r="25" spans="1:9" x14ac:dyDescent="0.2">
      <c r="A25" s="518">
        <v>913000.11</v>
      </c>
      <c r="B25" s="519" t="s">
        <v>884</v>
      </c>
      <c r="C25" s="1187">
        <v>388459</v>
      </c>
      <c r="D25" s="1187">
        <v>325988</v>
      </c>
      <c r="E25" s="1187">
        <f>D25/10*2</f>
        <v>65197.599999999999</v>
      </c>
      <c r="F25" s="1187">
        <f t="shared" ref="F25:F30" si="4">D25+E25</f>
        <v>391185.6</v>
      </c>
      <c r="G25" s="1187">
        <v>152000</v>
      </c>
      <c r="H25" s="1187">
        <v>356145</v>
      </c>
      <c r="I25" s="1188">
        <v>224806</v>
      </c>
    </row>
    <row r="26" spans="1:9" x14ac:dyDescent="0.2">
      <c r="A26" s="510">
        <v>913000.42</v>
      </c>
      <c r="B26" s="473" t="s">
        <v>885</v>
      </c>
      <c r="C26" s="1189">
        <f>50000</f>
        <v>50000</v>
      </c>
      <c r="D26" s="1189">
        <v>48218</v>
      </c>
      <c r="E26" s="1189">
        <f>D26/11</f>
        <v>4383.454545454545</v>
      </c>
      <c r="F26" s="1189">
        <f t="shared" si="4"/>
        <v>52601.454545454544</v>
      </c>
      <c r="G26" s="1189">
        <f>C26/4</f>
        <v>12500</v>
      </c>
      <c r="H26" s="1190">
        <v>55956</v>
      </c>
      <c r="I26" s="1188">
        <v>56000</v>
      </c>
    </row>
    <row r="27" spans="1:9" x14ac:dyDescent="0.2">
      <c r="A27" s="510">
        <v>913000.73100000003</v>
      </c>
      <c r="B27" s="473" t="s">
        <v>886</v>
      </c>
      <c r="C27" s="1189">
        <f>1500*12</f>
        <v>18000</v>
      </c>
      <c r="D27" s="1187">
        <v>14992</v>
      </c>
      <c r="E27" s="1189">
        <f>D27/11</f>
        <v>1362.909090909091</v>
      </c>
      <c r="F27" s="1189">
        <f t="shared" si="4"/>
        <v>16354.909090909092</v>
      </c>
      <c r="G27" s="1189">
        <f>C27/4</f>
        <v>4500</v>
      </c>
      <c r="H27" s="1190">
        <v>18746</v>
      </c>
      <c r="I27" s="1188">
        <v>20000</v>
      </c>
    </row>
    <row r="28" spans="1:9" x14ac:dyDescent="0.2">
      <c r="A28" s="510">
        <v>913000.73499999999</v>
      </c>
      <c r="B28" s="473" t="s">
        <v>887</v>
      </c>
      <c r="C28" s="1189">
        <f>5000*12</f>
        <v>60000</v>
      </c>
      <c r="D28" s="1187">
        <v>37229</v>
      </c>
      <c r="E28" s="1189">
        <f>D28/11</f>
        <v>3384.4545454545455</v>
      </c>
      <c r="F28" s="1189">
        <f t="shared" si="4"/>
        <v>40613.454545454544</v>
      </c>
      <c r="G28" s="1189">
        <f>C28/4</f>
        <v>15000</v>
      </c>
      <c r="H28" s="1191">
        <v>59516</v>
      </c>
      <c r="I28" s="1188">
        <v>60000</v>
      </c>
    </row>
    <row r="29" spans="1:9" x14ac:dyDescent="0.2">
      <c r="A29" s="510">
        <v>913000.75</v>
      </c>
      <c r="B29" s="473" t="s">
        <v>888</v>
      </c>
      <c r="C29" s="1189">
        <f>4200*12</f>
        <v>50400</v>
      </c>
      <c r="D29" s="1189">
        <v>40028</v>
      </c>
      <c r="E29" s="1189">
        <f>D29/11</f>
        <v>3638.909090909091</v>
      </c>
      <c r="F29" s="1189">
        <f t="shared" si="4"/>
        <v>43666.909090909088</v>
      </c>
      <c r="G29" s="1189">
        <f>C29/4</f>
        <v>12600</v>
      </c>
      <c r="H29" s="1191">
        <v>52827</v>
      </c>
      <c r="I29" s="1188">
        <v>53000</v>
      </c>
    </row>
    <row r="30" spans="1:9" x14ac:dyDescent="0.2">
      <c r="A30" s="518">
        <v>913100.72900000005</v>
      </c>
      <c r="B30" s="519" t="s">
        <v>889</v>
      </c>
      <c r="C30" s="1187">
        <v>10384100</v>
      </c>
      <c r="D30" s="1189">
        <v>9498654</v>
      </c>
      <c r="E30" s="1189">
        <f>D30/11</f>
        <v>863514</v>
      </c>
      <c r="F30" s="1189">
        <f t="shared" si="4"/>
        <v>10362168</v>
      </c>
      <c r="G30" s="1189">
        <v>1777000</v>
      </c>
      <c r="H30" s="1191">
        <v>6257137</v>
      </c>
      <c r="I30" s="1188">
        <v>6257000</v>
      </c>
    </row>
    <row r="31" spans="1:9" x14ac:dyDescent="0.2">
      <c r="A31" s="518">
        <v>913100.73</v>
      </c>
      <c r="B31" s="519" t="s">
        <v>890</v>
      </c>
      <c r="C31" s="1187">
        <f>707000</f>
        <v>707000</v>
      </c>
      <c r="D31" s="1189">
        <v>151206</v>
      </c>
      <c r="E31" s="1189">
        <f>F31-D31</f>
        <v>555794</v>
      </c>
      <c r="F31" s="1189">
        <f>C31</f>
        <v>707000</v>
      </c>
      <c r="G31" s="1189">
        <v>40000</v>
      </c>
      <c r="H31" s="1191">
        <v>29337</v>
      </c>
      <c r="I31" s="1188">
        <v>0</v>
      </c>
    </row>
    <row r="32" spans="1:9" x14ac:dyDescent="0.2">
      <c r="A32" s="510">
        <v>913100.75</v>
      </c>
      <c r="B32" s="473" t="s">
        <v>891</v>
      </c>
      <c r="C32" s="1189">
        <f>24000*12</f>
        <v>288000</v>
      </c>
      <c r="D32" s="1189">
        <v>264000</v>
      </c>
      <c r="E32" s="1189">
        <f>D32/11</f>
        <v>24000</v>
      </c>
      <c r="F32" s="1189">
        <f>D32+E32</f>
        <v>288000</v>
      </c>
      <c r="G32" s="1189">
        <f>24000*3</f>
        <v>72000</v>
      </c>
      <c r="H32" s="1191">
        <v>229917</v>
      </c>
      <c r="I32" s="1188">
        <v>0</v>
      </c>
    </row>
    <row r="33" spans="1:9" x14ac:dyDescent="0.2">
      <c r="A33" s="510">
        <v>913200.77</v>
      </c>
      <c r="B33" s="473" t="s">
        <v>892</v>
      </c>
      <c r="C33" s="1189">
        <v>83288</v>
      </c>
      <c r="D33" s="1189">
        <v>34989</v>
      </c>
      <c r="E33" s="1189">
        <f>D33/11</f>
        <v>3180.818181818182</v>
      </c>
      <c r="F33" s="1189">
        <f>D33+E33</f>
        <v>38169.818181818184</v>
      </c>
      <c r="G33" s="1189">
        <f>C33/4</f>
        <v>20822</v>
      </c>
      <c r="H33" s="1191">
        <v>38114</v>
      </c>
      <c r="I33" s="1188">
        <v>39000</v>
      </c>
    </row>
    <row r="34" spans="1:9" x14ac:dyDescent="0.2">
      <c r="A34" s="510">
        <v>913200.78</v>
      </c>
      <c r="B34" s="473" t="s">
        <v>2050</v>
      </c>
      <c r="C34" s="1189"/>
      <c r="D34" s="1189"/>
      <c r="E34" s="1189"/>
      <c r="F34" s="1189"/>
      <c r="G34" s="1189"/>
      <c r="H34" s="1191">
        <v>0</v>
      </c>
      <c r="I34" s="1188">
        <v>20000</v>
      </c>
    </row>
    <row r="35" spans="1:9" ht="15.75" x14ac:dyDescent="0.25">
      <c r="A35" s="450" t="s">
        <v>893</v>
      </c>
      <c r="B35" s="451" t="s">
        <v>894</v>
      </c>
      <c r="C35" s="452">
        <f>SUM(C25:C34)</f>
        <v>12029247</v>
      </c>
      <c r="D35" s="452">
        <f t="shared" ref="D35:I35" si="5">SUM(D25:D34)</f>
        <v>10415304</v>
      </c>
      <c r="E35" s="452">
        <f t="shared" si="5"/>
        <v>1524456.1454545453</v>
      </c>
      <c r="F35" s="452">
        <f t="shared" si="5"/>
        <v>11939760.145454546</v>
      </c>
      <c r="G35" s="452">
        <f t="shared" si="5"/>
        <v>2106422</v>
      </c>
      <c r="H35" s="452">
        <f t="shared" si="5"/>
        <v>7097695</v>
      </c>
      <c r="I35" s="452">
        <f t="shared" si="5"/>
        <v>6729806</v>
      </c>
    </row>
    <row r="36" spans="1:9" x14ac:dyDescent="0.2">
      <c r="A36" s="415"/>
      <c r="B36" s="416"/>
      <c r="C36" s="511"/>
      <c r="D36" s="208"/>
      <c r="E36" s="511"/>
      <c r="F36" s="511"/>
      <c r="G36" s="511"/>
      <c r="H36" s="1105"/>
      <c r="I36" s="170"/>
    </row>
    <row r="37" spans="1:9" x14ac:dyDescent="0.2">
      <c r="A37" s="510">
        <v>972000.69400000002</v>
      </c>
      <c r="B37" s="473" t="s">
        <v>898</v>
      </c>
      <c r="C37" s="1192">
        <v>1156963</v>
      </c>
      <c r="D37" s="1192">
        <v>1156963</v>
      </c>
      <c r="E37" s="1193">
        <f>D37/11</f>
        <v>105178.45454545454</v>
      </c>
      <c r="F37" s="1193">
        <f t="shared" ref="F37:F42" si="6">D37+E37</f>
        <v>1262141.4545454546</v>
      </c>
      <c r="G37" s="1192">
        <f t="shared" ref="G37:G42" si="7">C37/4</f>
        <v>289240.75</v>
      </c>
      <c r="H37" s="1194">
        <v>1155525</v>
      </c>
      <c r="I37" s="1195">
        <v>1155500</v>
      </c>
    </row>
    <row r="38" spans="1:9" x14ac:dyDescent="0.2">
      <c r="A38" s="510">
        <v>972000.69499999995</v>
      </c>
      <c r="B38" s="473" t="s">
        <v>899</v>
      </c>
      <c r="C38" s="1192">
        <v>1010000</v>
      </c>
      <c r="D38" s="1192">
        <v>848948</v>
      </c>
      <c r="E38" s="1193">
        <f>D38/11</f>
        <v>77177.090909090912</v>
      </c>
      <c r="F38" s="1193">
        <f t="shared" si="6"/>
        <v>926125.09090909094</v>
      </c>
      <c r="G38" s="1192">
        <f t="shared" si="7"/>
        <v>252500</v>
      </c>
      <c r="H38" s="1194">
        <v>770649</v>
      </c>
      <c r="I38" s="1195">
        <v>770600</v>
      </c>
    </row>
    <row r="39" spans="1:9" x14ac:dyDescent="0.2">
      <c r="A39" s="510">
        <v>972000.696</v>
      </c>
      <c r="B39" s="473" t="s">
        <v>900</v>
      </c>
      <c r="C39" s="1192">
        <v>104000</v>
      </c>
      <c r="D39" s="1192">
        <v>121349</v>
      </c>
      <c r="E39" s="1193">
        <f>D39/11</f>
        <v>11031.727272727272</v>
      </c>
      <c r="F39" s="1193">
        <f t="shared" si="6"/>
        <v>132380.72727272726</v>
      </c>
      <c r="G39" s="1192">
        <f t="shared" si="7"/>
        <v>26000</v>
      </c>
      <c r="H39" s="1194">
        <v>116518</v>
      </c>
      <c r="I39" s="1195">
        <v>116500</v>
      </c>
    </row>
    <row r="40" spans="1:9" x14ac:dyDescent="0.2">
      <c r="A40" s="510">
        <v>973000.77</v>
      </c>
      <c r="B40" s="473" t="s">
        <v>901</v>
      </c>
      <c r="C40" s="1193">
        <v>410000</v>
      </c>
      <c r="D40" s="1192">
        <v>208387</v>
      </c>
      <c r="E40" s="1193">
        <f>D40/11+182000</f>
        <v>200944.27272727274</v>
      </c>
      <c r="F40" s="1193">
        <f t="shared" si="6"/>
        <v>409331.27272727271</v>
      </c>
      <c r="G40" s="1192">
        <f t="shared" si="7"/>
        <v>102500</v>
      </c>
      <c r="H40" s="1194">
        <v>349339</v>
      </c>
      <c r="I40" s="1195">
        <v>15000</v>
      </c>
    </row>
    <row r="41" spans="1:9" x14ac:dyDescent="0.2">
      <c r="A41" s="510">
        <v>973100.75</v>
      </c>
      <c r="B41" s="473" t="s">
        <v>902</v>
      </c>
      <c r="C41" s="1192">
        <v>170000</v>
      </c>
      <c r="D41" s="1192">
        <v>0</v>
      </c>
      <c r="E41" s="1193">
        <v>170000</v>
      </c>
      <c r="F41" s="1193">
        <f t="shared" si="6"/>
        <v>170000</v>
      </c>
      <c r="G41" s="1192">
        <f t="shared" si="7"/>
        <v>42500</v>
      </c>
      <c r="H41" s="1194">
        <v>0</v>
      </c>
      <c r="I41" s="1195">
        <v>100000</v>
      </c>
    </row>
    <row r="42" spans="1:9" x14ac:dyDescent="0.2">
      <c r="A42" s="510">
        <v>974000.75</v>
      </c>
      <c r="B42" s="473" t="s">
        <v>903</v>
      </c>
      <c r="C42" s="1192">
        <f>220000/12*9</f>
        <v>165000</v>
      </c>
      <c r="D42" s="1192">
        <v>132230</v>
      </c>
      <c r="E42" s="1193">
        <f>D42/11</f>
        <v>12020.90909090909</v>
      </c>
      <c r="F42" s="1193">
        <f t="shared" si="6"/>
        <v>144250.90909090909</v>
      </c>
      <c r="G42" s="1192">
        <f t="shared" si="7"/>
        <v>41250</v>
      </c>
      <c r="H42" s="1194">
        <v>136021</v>
      </c>
      <c r="I42" s="1195">
        <v>120000</v>
      </c>
    </row>
    <row r="43" spans="1:9" ht="15.75" x14ac:dyDescent="0.25">
      <c r="A43" s="450" t="s">
        <v>904</v>
      </c>
      <c r="B43" s="451" t="s">
        <v>905</v>
      </c>
      <c r="C43" s="452">
        <f t="shared" ref="C43:I43" si="8">SUM(C37:C42)</f>
        <v>3015963</v>
      </c>
      <c r="D43" s="452">
        <f t="shared" si="8"/>
        <v>2467877</v>
      </c>
      <c r="E43" s="452">
        <f t="shared" si="8"/>
        <v>576352.45454545447</v>
      </c>
      <c r="F43" s="452">
        <f t="shared" si="8"/>
        <v>3044229.4545454541</v>
      </c>
      <c r="G43" s="452">
        <f t="shared" si="8"/>
        <v>753990.75</v>
      </c>
      <c r="H43" s="452">
        <f t="shared" si="8"/>
        <v>2528052</v>
      </c>
      <c r="I43" s="452">
        <f t="shared" si="8"/>
        <v>2277600</v>
      </c>
    </row>
    <row r="44" spans="1:9" ht="15" x14ac:dyDescent="0.25">
      <c r="A44" s="1479" t="s">
        <v>143</v>
      </c>
      <c r="B44" s="1480"/>
      <c r="C44" s="1196">
        <f>C35+C43+C24</f>
        <v>15838125</v>
      </c>
      <c r="D44" s="1196">
        <f t="shared" ref="D44:I44" si="9">D35+D43+D24</f>
        <v>12883181</v>
      </c>
      <c r="E44" s="1196">
        <f t="shared" si="9"/>
        <v>2100808.5999999996</v>
      </c>
      <c r="F44" s="1196">
        <f t="shared" si="9"/>
        <v>15809581.600000001</v>
      </c>
      <c r="G44" s="1196">
        <f t="shared" si="9"/>
        <v>3147077.75</v>
      </c>
      <c r="H44" s="1196">
        <f t="shared" si="9"/>
        <v>10177755</v>
      </c>
      <c r="I44" s="1196">
        <f t="shared" si="9"/>
        <v>9587321</v>
      </c>
    </row>
    <row r="45" spans="1:9" ht="15" x14ac:dyDescent="0.25">
      <c r="A45" s="237" t="s">
        <v>3302</v>
      </c>
      <c r="B45" s="237"/>
      <c r="C45" s="1196">
        <f>C17-C44</f>
        <v>-10093480.333333332</v>
      </c>
      <c r="D45" s="1196">
        <f t="shared" ref="D45:I45" si="10">D17-D44</f>
        <v>-12883181</v>
      </c>
      <c r="E45" s="1196">
        <f t="shared" si="10"/>
        <v>-2100808.5999999996</v>
      </c>
      <c r="F45" s="1196">
        <f t="shared" si="10"/>
        <v>-9838378.2666666675</v>
      </c>
      <c r="G45" s="1196">
        <f t="shared" si="10"/>
        <v>-1047077.75</v>
      </c>
      <c r="H45" s="1196">
        <f t="shared" si="10"/>
        <v>-4282453</v>
      </c>
      <c r="I45" s="1196">
        <f t="shared" si="10"/>
        <v>-3697571</v>
      </c>
    </row>
  </sheetData>
  <mergeCells count="3">
    <mergeCell ref="A2:I2"/>
    <mergeCell ref="A17:B17"/>
    <mergeCell ref="A44:B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55</vt:i4>
      </vt:variant>
      <vt:variant>
        <vt:lpstr>טווחים בעלי שם</vt:lpstr>
      </vt:variant>
      <vt:variant>
        <vt:i4>24</vt:i4>
      </vt:variant>
    </vt:vector>
  </HeadingPairs>
  <TitlesOfParts>
    <vt:vector size="79" baseType="lpstr">
      <vt:lpstr>פתיח</vt:lpstr>
      <vt:lpstr>אינדקס</vt:lpstr>
      <vt:lpstr>טבלה מעודכנת </vt:lpstr>
      <vt:lpstr>טבלה 2</vt:lpstr>
      <vt:lpstr>טבלה 3</vt:lpstr>
      <vt:lpstr>טבלה 4</vt:lpstr>
      <vt:lpstr>טבלה 5</vt:lpstr>
      <vt:lpstr>נספחים</vt:lpstr>
      <vt:lpstr>הצהרה</vt:lpstr>
      <vt:lpstr>הצהרה (2)</vt:lpstr>
      <vt:lpstr>נספח ב</vt:lpstr>
      <vt:lpstr>נספח ג</vt:lpstr>
      <vt:lpstr>נספח ד</vt:lpstr>
      <vt:lpstr>נספח ה</vt:lpstr>
      <vt:lpstr>נספח ו</vt:lpstr>
      <vt:lpstr>נספח ז 1</vt:lpstr>
      <vt:lpstr>נספח ז 2</vt:lpstr>
      <vt:lpstr>נספחים (2)</vt:lpstr>
      <vt:lpstr>פירוטים</vt:lpstr>
      <vt:lpstr>נספח 2</vt:lpstr>
      <vt:lpstr>פירוט גרעונות</vt:lpstr>
      <vt:lpstr>טבלה  4</vt:lpstr>
      <vt:lpstr>נספח 5 שכר</vt:lpstr>
      <vt:lpstr>נספח 6 פעולות</vt:lpstr>
      <vt:lpstr>פרעון מלוות </vt:lpstr>
      <vt:lpstr>נספח 8 תמיכות </vt:lpstr>
      <vt:lpstr>נספח 9 הכנסות </vt:lpstr>
      <vt:lpstr>נספח 10 ביוב </vt:lpstr>
      <vt:lpstr>הסברים</vt:lpstr>
      <vt:lpstr>הוצאות </vt:lpstr>
      <vt:lpstr>מוניצפלי</vt:lpstr>
      <vt:lpstr>הכנסות </vt:lpstr>
      <vt:lpstr>שכר</vt:lpstr>
      <vt:lpstr>פיצויים</vt:lpstr>
      <vt:lpstr>מוניצ</vt:lpstr>
      <vt:lpstr>חינוך</vt:lpstr>
      <vt:lpstr>רווחה</vt:lpstr>
      <vt:lpstr>גיליון1</vt:lpstr>
      <vt:lpstr>פירוט שכר כללי</vt:lpstr>
      <vt:lpstr>פירוט פעולות כלליות</vt:lpstr>
      <vt:lpstr>פירוט שכר חינוך</vt:lpstr>
      <vt:lpstr>פירוט פעולות חינוך</vt:lpstr>
      <vt:lpstr>פירוט שכר רווחה</vt:lpstr>
      <vt:lpstr>פירוט פעולות רווחה</vt:lpstr>
      <vt:lpstr>פירוט עצמיות אחר</vt:lpstr>
      <vt:lpstr>פירוט תקבולים ממשלתיים אחרים</vt:lpstr>
      <vt:lpstr>פירוט הכנסות ח"פ</vt:lpstr>
      <vt:lpstr>הכנסות לשלפה</vt:lpstr>
      <vt:lpstr>66 מצטבר</vt:lpstr>
      <vt:lpstr>עזר</vt:lpstr>
      <vt:lpstr>Sheet1</vt:lpstr>
      <vt:lpstr>ביצוע 9.17</vt:lpstr>
      <vt:lpstr>מלוות</vt:lpstr>
      <vt:lpstr>הסברים הכנס</vt:lpstr>
      <vt:lpstr>משק מים</vt:lpstr>
      <vt:lpstr>אינדקס!WPrint_Area_W</vt:lpstr>
      <vt:lpstr>'הוצאות '!WPrint_Area_W</vt:lpstr>
      <vt:lpstr>'הכנסות '!WPrint_Area_W</vt:lpstr>
      <vt:lpstr>חינוך!WPrint_Area_W</vt:lpstr>
      <vt:lpstr>'טבלה מעודכנת '!WPrint_Area_W</vt:lpstr>
      <vt:lpstr>מוניצ!WPrint_Area_W</vt:lpstr>
      <vt:lpstr>'פירוט הכנסות ח"פ'!WPrint_Area_W</vt:lpstr>
      <vt:lpstr>'פירוט עצמיות אחר'!WPrint_Area_W</vt:lpstr>
      <vt:lpstr>'פירוט פעולות חינוך'!WPrint_Area_W</vt:lpstr>
      <vt:lpstr>'פירוט פעולות כלליות'!WPrint_Area_W</vt:lpstr>
      <vt:lpstr>'פירוט פעולות רווחה'!WPrint_Area_W</vt:lpstr>
      <vt:lpstr>'פירוט שכר חינוך'!WPrint_Area_W</vt:lpstr>
      <vt:lpstr>'פירוט שכר כללי'!WPrint_Area_W</vt:lpstr>
      <vt:lpstr>'פירוט שכר רווחה'!WPrint_Area_W</vt:lpstr>
      <vt:lpstr>'פירוט תקבולים ממשלתיים אחרים'!WPrint_Area_W</vt:lpstr>
      <vt:lpstr>פירוטים!WPrint_Area_W</vt:lpstr>
      <vt:lpstr>רווחה!WPrint_Area_W</vt:lpstr>
      <vt:lpstr>'הוצאות '!WPrint_TitlesW</vt:lpstr>
      <vt:lpstr>'הכנסות '!WPrint_TitlesW</vt:lpstr>
      <vt:lpstr>חינוך!WPrint_TitlesW</vt:lpstr>
      <vt:lpstr>'טבלה 4'!WPrint_TitlesW</vt:lpstr>
      <vt:lpstr>מוניצ!WPrint_TitlesW</vt:lpstr>
      <vt:lpstr>מוניצפלי!WPrint_TitlesW</vt:lpstr>
      <vt:lpstr>פירוטים!WPrint_TitlesW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</dc:creator>
  <cp:lastModifiedBy>Windows User</cp:lastModifiedBy>
  <cp:revision/>
  <cp:lastPrinted>2018-04-25T11:31:06Z</cp:lastPrinted>
  <dcterms:created xsi:type="dcterms:W3CDTF">2003-12-21T13:29:35Z</dcterms:created>
  <dcterms:modified xsi:type="dcterms:W3CDTF">2018-05-15T03:46:34Z</dcterms:modified>
</cp:coreProperties>
</file>